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ccounts\"/>
    </mc:Choice>
  </mc:AlternateContent>
  <xr:revisionPtr revIDLastSave="0" documentId="13_ncr:1_{1E2A4C05-7553-4ABA-9EDE-A989B300112F}" xr6:coauthVersionLast="45" xr6:coauthVersionMax="47" xr10:uidLastSave="{00000000-0000-0000-0000-000000000000}"/>
  <bookViews>
    <workbookView xWindow="-120" yWindow="-120" windowWidth="20730" windowHeight="11160" xr2:uid="{E2D9E009-2CF1-624C-B5E3-201F3A61C23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" l="1"/>
  <c r="H54" i="1"/>
  <c r="H56" i="1" l="1"/>
  <c r="H55" i="1"/>
  <c r="H53" i="1"/>
  <c r="H42" i="1"/>
  <c r="H57" i="1" l="1"/>
  <c r="H31" i="1" l="1"/>
  <c r="K39" i="1" l="1"/>
  <c r="O3" i="1"/>
  <c r="E4" i="1"/>
  <c r="E3" i="1"/>
  <c r="H32" i="1"/>
  <c r="O6" i="1"/>
  <c r="K38" i="1" s="1"/>
  <c r="O5" i="1"/>
  <c r="K37" i="1" s="1"/>
  <c r="O4" i="1"/>
  <c r="K36" i="1" s="1"/>
  <c r="K35" i="1"/>
  <c r="O2" i="1"/>
  <c r="K34" i="1" s="1"/>
  <c r="K33" i="1"/>
  <c r="K32" i="1"/>
  <c r="K31" i="1"/>
  <c r="H46" i="1"/>
  <c r="N7" i="1"/>
  <c r="H49" i="1" s="1"/>
  <c r="N6" i="1"/>
  <c r="L3" i="1" s="1"/>
  <c r="N5" i="1"/>
  <c r="H47" i="1" s="1"/>
  <c r="N4" i="1"/>
  <c r="H45" i="1" s="1"/>
  <c r="N3" i="1"/>
  <c r="H44" i="1" s="1"/>
  <c r="N2" i="1"/>
  <c r="H43" i="1" s="1"/>
  <c r="E31" i="1"/>
  <c r="M4" i="1"/>
  <c r="M3" i="1"/>
  <c r="M2" i="1"/>
  <c r="I4" i="1"/>
  <c r="I3" i="1"/>
  <c r="I2" i="1"/>
  <c r="J4" i="1"/>
  <c r="F4" i="1"/>
  <c r="J3" i="1"/>
  <c r="J2" i="1"/>
  <c r="B31" i="1"/>
  <c r="E5" i="1" l="1"/>
  <c r="E39" i="1" s="1"/>
  <c r="E32" i="1"/>
  <c r="M5" i="1"/>
  <c r="K40" i="1"/>
  <c r="H48" i="1"/>
  <c r="H50" i="1" s="1"/>
  <c r="G17" i="1" s="1"/>
  <c r="L2" i="1"/>
  <c r="L4" i="1" s="1"/>
  <c r="I5" i="1"/>
  <c r="G4" i="1"/>
  <c r="B33" i="1" s="1"/>
  <c r="G3" i="1"/>
  <c r="F3" i="1"/>
  <c r="F2" i="1"/>
  <c r="B21" i="1"/>
  <c r="E38" i="1" l="1"/>
  <c r="E40" i="1" s="1"/>
  <c r="B38" i="1"/>
  <c r="B39" i="1"/>
  <c r="B40" i="1" s="1"/>
  <c r="B32" i="1"/>
  <c r="H34" i="1"/>
  <c r="B34" i="1"/>
  <c r="E34" i="1"/>
  <c r="E35" i="1" s="1"/>
  <c r="H2" i="1"/>
  <c r="K43" i="1" l="1"/>
  <c r="P2" i="1"/>
  <c r="K44" i="1" s="1"/>
  <c r="B35" i="1"/>
  <c r="G13" i="1" s="1"/>
  <c r="M6" i="1"/>
  <c r="H38" i="1" s="1"/>
  <c r="H3" i="1"/>
  <c r="H37" i="1" s="1"/>
  <c r="K45" i="1" l="1"/>
  <c r="H39" i="1"/>
  <c r="G14" i="1" l="1"/>
  <c r="G15" i="1" s="1"/>
</calcChain>
</file>

<file path=xl/sharedStrings.xml><?xml version="1.0" encoding="utf-8"?>
<sst xmlns="http://schemas.openxmlformats.org/spreadsheetml/2006/main" count="84" uniqueCount="53">
  <si>
    <t>ARIPO</t>
  </si>
  <si>
    <t>OAPI</t>
  </si>
  <si>
    <t>Today's date:</t>
  </si>
  <si>
    <t>PCT filing date:</t>
  </si>
  <si>
    <t>No. priority claims:</t>
  </si>
  <si>
    <t>No. claims:</t>
  </si>
  <si>
    <t>No. pages:</t>
  </si>
  <si>
    <t>No. States</t>
  </si>
  <si>
    <t>No. patents in courier parcel:</t>
  </si>
  <si>
    <t>Acceptance and publication</t>
  </si>
  <si>
    <t>Courier</t>
  </si>
  <si>
    <t>Filing</t>
  </si>
  <si>
    <t>Total</t>
  </si>
  <si>
    <t>Filing (official)</t>
  </si>
  <si>
    <t>Filing (professional)</t>
  </si>
  <si>
    <t>Renewal (official)</t>
  </si>
  <si>
    <t>Renewal (professional)</t>
  </si>
  <si>
    <t>Renewal</t>
  </si>
  <si>
    <t>Renewal "to term"</t>
  </si>
  <si>
    <t>Subtotal</t>
  </si>
  <si>
    <t>SOUTH AFRICA</t>
  </si>
  <si>
    <t>NIGERIA</t>
  </si>
  <si>
    <t>Examination (official)</t>
  </si>
  <si>
    <t>Surplus pages (+30) (official)</t>
  </si>
  <si>
    <t>Surplus claims (+10) (official)</t>
  </si>
  <si>
    <t>Surplus pages (+100) (official)</t>
  </si>
  <si>
    <t>Examination (professional)</t>
  </si>
  <si>
    <t>Surplus claims (+10) (professional)</t>
  </si>
  <si>
    <t>Surplus pages (+30) (professional)</t>
  </si>
  <si>
    <t>Surplus pages (+100) (professional)</t>
  </si>
  <si>
    <r>
      <t xml:space="preserve">Examination </t>
    </r>
    <r>
      <rPr>
        <sz val="12"/>
        <color theme="1"/>
        <rFont val="Calibri"/>
        <family val="2"/>
        <scheme val="minor"/>
      </rPr>
      <t>(PCT filing date + 3yrs)</t>
    </r>
  </si>
  <si>
    <t>Priority (official)</t>
  </si>
  <si>
    <t>Euro:US$ conversion</t>
  </si>
  <si>
    <t>Publication (official)</t>
  </si>
  <si>
    <t>Surplus pages (+10) (official)</t>
  </si>
  <si>
    <t>Surplus pages (+20) (official)</t>
  </si>
  <si>
    <t>Surplus pages (+40) (official)</t>
  </si>
  <si>
    <t>African Patent Costs</t>
  </si>
  <si>
    <t>Fiiling cost</t>
  </si>
  <si>
    <t>COST</t>
  </si>
  <si>
    <t>Exam. Cost</t>
  </si>
  <si>
    <t>Due third year from PCT filing date</t>
  </si>
  <si>
    <t>Firm: Crown &amp; Shields</t>
  </si>
  <si>
    <t xml:space="preserve">Firm: Sibanda &amp; Zantwijk </t>
  </si>
  <si>
    <t>Firm: Atanga</t>
  </si>
  <si>
    <t>Firm: Samuriwo</t>
  </si>
  <si>
    <t>(Version 1.01, 29 Nov 2022)</t>
  </si>
  <si>
    <t>State designation (official)</t>
  </si>
  <si>
    <t>Grant and Publication fees</t>
  </si>
  <si>
    <t>Grant and Publication fees (official)</t>
  </si>
  <si>
    <t>Grant and Publication fees (professional)</t>
  </si>
  <si>
    <t xml:space="preserve">Courier fees </t>
  </si>
  <si>
    <t>Collection of Certificate of Grant from ARIPO and fees for checking 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</si>
</sst>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C09]dd\ mmmm\ yyyy;@"/>
    <numFmt numFmtId="165" formatCode="[$$-45C]#,##0"/>
    <numFmt numFmtId="166" formatCode="[$€-2]\ #,##0"/>
  </numFmts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rgb="FF000000"/>
      <name val="Lucida Grande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165" fontId="3" fillId="0" borderId="0" xfId="0" applyNumberFormat="1" applyFont="1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1" fillId="0" borderId="1" xfId="0" applyFont="1" applyBorder="1"/>
    <xf numFmtId="0" fontId="1" fillId="0" borderId="4" xfId="0" applyFont="1" applyBorder="1"/>
    <xf numFmtId="165" fontId="0" fillId="0" borderId="5" xfId="0" applyNumberFormat="1" applyBorder="1"/>
    <xf numFmtId="165" fontId="3" fillId="0" borderId="5" xfId="0" applyNumberFormat="1" applyFont="1" applyBorder="1"/>
    <xf numFmtId="165" fontId="1" fillId="0" borderId="5" xfId="0" applyNumberFormat="1" applyFont="1" applyBorder="1"/>
    <xf numFmtId="0" fontId="1" fillId="0" borderId="6" xfId="0" applyFont="1" applyBorder="1"/>
    <xf numFmtId="165" fontId="1" fillId="0" borderId="8" xfId="0" applyNumberFormat="1" applyFont="1" applyBorder="1"/>
    <xf numFmtId="166" fontId="0" fillId="0" borderId="5" xfId="0" applyNumberFormat="1" applyBorder="1"/>
    <xf numFmtId="166" fontId="3" fillId="0" borderId="5" xfId="0" applyNumberFormat="1" applyFont="1" applyBorder="1"/>
    <xf numFmtId="166" fontId="1" fillId="0" borderId="5" xfId="0" applyNumberFormat="1" applyFont="1" applyBorder="1"/>
    <xf numFmtId="166" fontId="1" fillId="0" borderId="8" xfId="0" applyNumberFormat="1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65" fontId="4" fillId="0" borderId="0" xfId="0" applyNumberFormat="1" applyFont="1"/>
    <xf numFmtId="0" fontId="4" fillId="0" borderId="5" xfId="0" applyFont="1" applyBorder="1"/>
    <xf numFmtId="0" fontId="4" fillId="0" borderId="0" xfId="0" applyFont="1"/>
    <xf numFmtId="165" fontId="0" fillId="0" borderId="7" xfId="0" applyNumberFormat="1" applyBorder="1"/>
    <xf numFmtId="0" fontId="5" fillId="0" borderId="0" xfId="0" applyFont="1"/>
    <xf numFmtId="164" fontId="0" fillId="3" borderId="3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Border="1"/>
    <xf numFmtId="0" fontId="0" fillId="0" borderId="4" xfId="0" applyFont="1" applyBorder="1"/>
    <xf numFmtId="165" fontId="0" fillId="0" borderId="5" xfId="0" applyNumberFormat="1" applyFont="1" applyBorder="1"/>
    <xf numFmtId="0" fontId="0" fillId="4" borderId="4" xfId="0" applyFill="1" applyBorder="1"/>
    <xf numFmtId="165" fontId="0" fillId="4" borderId="5" xfId="0" applyNumberFormat="1" applyFill="1" applyBorder="1"/>
    <xf numFmtId="0" fontId="0" fillId="0" borderId="4" xfId="0" applyFill="1" applyBorder="1"/>
    <xf numFmtId="165" fontId="0" fillId="0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K3" lockText="1" noThreeD="1"/>
</file>

<file path=xl/ctrlProps/ctrlProp2.xml><?xml version="1.0" encoding="utf-8"?>
<formControlPr xmlns="http://schemas.microsoft.com/office/spreadsheetml/2009/9/main" objectType="CheckBox" checked="Checked" fmlaLink="K4" lockText="1" noThreeD="1"/>
</file>

<file path=xl/ctrlProps/ctrlProp3.xml><?xml version="1.0" encoding="utf-8"?>
<formControlPr xmlns="http://schemas.microsoft.com/office/spreadsheetml/2009/9/main" objectType="CheckBox" checked="Checked" fmlaLink="K2" lockText="1" noThreeD="1"/>
</file>

<file path=xl/ctrlProps/ctrlProp4.xml><?xml version="1.0" encoding="utf-8"?>
<formControlPr xmlns="http://schemas.microsoft.com/office/spreadsheetml/2009/9/main" objectType="Radio" firstButton="1" fmlaLink="K6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Spin" dx="15" fmlaLink="B26" max="4" page="10" val="4"/>
</file>

<file path=xl/ctrlProps/ctrlProp8.xml><?xml version="1.0" encoding="utf-8"?>
<formControlPr xmlns="http://schemas.microsoft.com/office/spreadsheetml/2009/9/main" objectType="Spin" dx="15" fmlaLink="C15" max="22" min="1" page="10" val="19"/>
</file>

<file path=xl/ctrlProps/ctrlProp9.xml><?xml version="1.0" encoding="utf-8"?>
<formControlPr xmlns="http://schemas.microsoft.com/office/spreadsheetml/2009/9/main" objectType="CheckBox" fmlaLink="E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13</xdr:row>
          <xdr:rowOff>123825</xdr:rowOff>
        </xdr:from>
        <xdr:to>
          <xdr:col>0</xdr:col>
          <xdr:colOff>1562100</xdr:colOff>
          <xdr:row>15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ZW" sz="1300" b="0" i="0" u="none" strike="noStrike" baseline="0">
                  <a:solidFill>
                    <a:srgbClr val="000000"/>
                  </a:solidFill>
                  <a:latin typeface="Lucida Grande"/>
                </a:rPr>
                <a:t>ARIPO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114300</xdr:rowOff>
        </xdr:from>
        <xdr:to>
          <xdr:col>0</xdr:col>
          <xdr:colOff>1552575</xdr:colOff>
          <xdr:row>18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ZW" sz="1300" b="0" i="0" u="none" strike="noStrike" baseline="0">
                  <a:solidFill>
                    <a:srgbClr val="000000"/>
                  </a:solidFill>
                  <a:latin typeface="Lucida Grande"/>
                </a:rPr>
                <a:t>OAPI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10</xdr:row>
          <xdr:rowOff>114300</xdr:rowOff>
        </xdr:from>
        <xdr:to>
          <xdr:col>0</xdr:col>
          <xdr:colOff>1562100</xdr:colOff>
          <xdr:row>12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ZW" sz="1300" b="0" i="0" u="none" strike="noStrike" baseline="0">
                  <a:solidFill>
                    <a:srgbClr val="000000"/>
                  </a:solidFill>
                  <a:latin typeface="Lucida Grande"/>
                </a:rPr>
                <a:t>SANi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1266825</xdr:colOff>
          <xdr:row>11</xdr:row>
          <xdr:rowOff>38100</xdr:rowOff>
        </xdr:from>
        <xdr:to>
          <xdr:col>2</xdr:col>
          <xdr:colOff>152400</xdr:colOff>
          <xdr:row>12</xdr:row>
          <xdr:rowOff>9525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ZW" sz="1300" b="0" i="0" u="none" strike="noStrike" baseline="0">
                  <a:solidFill>
                    <a:srgbClr val="000000"/>
                  </a:solidFill>
                  <a:latin typeface="Lucida Grande"/>
                </a:rPr>
                <a:t>Online option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1266825</xdr:colOff>
          <xdr:row>12</xdr:row>
          <xdr:rowOff>28575</xdr:rowOff>
        </xdr:from>
        <xdr:to>
          <xdr:col>2</xdr:col>
          <xdr:colOff>638175</xdr:colOff>
          <xdr:row>13</xdr:row>
          <xdr:rowOff>66675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ZW" sz="1300" b="0" i="0" u="none" strike="noStrike" baseline="0">
                  <a:solidFill>
                    <a:srgbClr val="000000"/>
                  </a:solidFill>
                  <a:latin typeface="Lucida Grande"/>
                </a:rPr>
                <a:t>Online option (law firm discount)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1285875</xdr:colOff>
          <xdr:row>9</xdr:row>
          <xdr:rowOff>190500</xdr:rowOff>
        </xdr:from>
        <xdr:to>
          <xdr:col>1</xdr:col>
          <xdr:colOff>581025</xdr:colOff>
          <xdr:row>11</xdr:row>
          <xdr:rowOff>38100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ZW" sz="1300" b="0" i="0" u="none" strike="noStrike" baseline="0">
                  <a:solidFill>
                    <a:srgbClr val="000000"/>
                  </a:solidFill>
                  <a:latin typeface="Lucida Grande"/>
                </a:rPr>
                <a:t>Traditional option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1247775</xdr:colOff>
          <xdr:row>24</xdr:row>
          <xdr:rowOff>200025</xdr:rowOff>
        </xdr:from>
        <xdr:to>
          <xdr:col>1</xdr:col>
          <xdr:colOff>1524000</xdr:colOff>
          <xdr:row>26</xdr:row>
          <xdr:rowOff>76200</xdr:rowOff>
        </xdr:to>
        <xdr:sp macro="" textlink="">
          <xdr:nvSpPr>
            <xdr:cNvPr id="1036" name="Spinner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561975</xdr:colOff>
          <xdr:row>13</xdr:row>
          <xdr:rowOff>142875</xdr:rowOff>
        </xdr:from>
        <xdr:to>
          <xdr:col>2</xdr:col>
          <xdr:colOff>828675</xdr:colOff>
          <xdr:row>15</xdr:row>
          <xdr:rowOff>66675</xdr:rowOff>
        </xdr:to>
        <xdr:sp macro="" textlink="">
          <xdr:nvSpPr>
            <xdr:cNvPr id="1037" name="Spinner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581025</xdr:colOff>
          <xdr:row>10</xdr:row>
          <xdr:rowOff>161925</xdr:rowOff>
        </xdr:from>
        <xdr:to>
          <xdr:col>3</xdr:col>
          <xdr:colOff>1285875</xdr:colOff>
          <xdr:row>12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ZW" sz="1300" b="0" i="0" u="none" strike="noStrike" baseline="0">
                  <a:solidFill>
                    <a:srgbClr val="000000"/>
                  </a:solidFill>
                  <a:latin typeface="Lucida Grande"/>
                </a:rPr>
                <a:t>Renew "to term" (20yrs)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3AFA8-28D3-364E-97B3-6376D9EAE38D}">
  <dimension ref="A1:P58"/>
  <sheetViews>
    <sheetView tabSelected="1" zoomScale="104" workbookViewId="0">
      <selection activeCell="F15" sqref="F15:G15"/>
    </sheetView>
  </sheetViews>
  <sheetFormatPr defaultColWidth="11" defaultRowHeight="15.75"/>
  <cols>
    <col min="1" max="1" width="29.125" bestFit="1" customWidth="1"/>
    <col min="2" max="2" width="20.125" bestFit="1" customWidth="1"/>
    <col min="4" max="4" width="24.5" bestFit="1" customWidth="1"/>
    <col min="7" max="7" width="35.75" bestFit="1" customWidth="1"/>
    <col min="10" max="10" width="25.875" bestFit="1" customWidth="1"/>
  </cols>
  <sheetData>
    <row r="1" spans="1:16" ht="21">
      <c r="A1" s="32" t="s">
        <v>37</v>
      </c>
    </row>
    <row r="2" spans="1:16" s="5" customFormat="1" hidden="1">
      <c r="E2" s="5" t="b">
        <v>0</v>
      </c>
      <c r="F2" s="5">
        <f>IF(K6=3,585,0)</f>
        <v>0</v>
      </c>
      <c r="G2" s="5">
        <v>0</v>
      </c>
      <c r="H2" s="5">
        <f ca="1">INT(YEARFRAC(B21,B22))</f>
        <v>2</v>
      </c>
      <c r="I2" s="5">
        <f>IF(K6=3,485,0)</f>
        <v>0</v>
      </c>
      <c r="J2" s="5">
        <f>IF(K6=3,775,0)</f>
        <v>0</v>
      </c>
      <c r="K2" s="5" t="b">
        <v>1</v>
      </c>
      <c r="L2" s="5">
        <f>IF(N6=3,385,0)</f>
        <v>0</v>
      </c>
      <c r="M2" s="5">
        <f>IF(K6=3,730,0)</f>
        <v>0</v>
      </c>
      <c r="N2" s="5">
        <f>IF(B24&gt;10,50*(B24-10),0)</f>
        <v>2000</v>
      </c>
      <c r="O2" s="5">
        <f>IF(B24&gt;10,69*(B24-10),0)</f>
        <v>2760</v>
      </c>
      <c r="P2" s="5">
        <f ca="1">+H2*154</f>
        <v>308</v>
      </c>
    </row>
    <row r="3" spans="1:16" s="5" customFormat="1" hidden="1">
      <c r="E3" s="5">
        <f>IF(E2=TRUE, 1,0)</f>
        <v>0</v>
      </c>
      <c r="F3" s="5">
        <f>IF(K6=1,399,0)</f>
        <v>0</v>
      </c>
      <c r="G3" s="5">
        <f>IF(K6&lt;3,(110/B26),0)</f>
        <v>27.5</v>
      </c>
      <c r="H3" s="5">
        <f ca="1">(IF(H2&lt;=1,50,50+70))*C15</f>
        <v>2280</v>
      </c>
      <c r="I3" s="5">
        <f>IF(K6=1,385,0)</f>
        <v>0</v>
      </c>
      <c r="J3" s="5">
        <f>IF(K6=1,650,0)</f>
        <v>0</v>
      </c>
      <c r="K3" s="5" t="b">
        <v>1</v>
      </c>
      <c r="L3" s="5">
        <f>IF(N6&lt;3,285,0)</f>
        <v>0</v>
      </c>
      <c r="M3" s="5">
        <f>IF(K6=1,630,0)</f>
        <v>0</v>
      </c>
      <c r="N3" s="5">
        <f>IF(B25&gt;30,20*(B25-30),0)</f>
        <v>1400</v>
      </c>
      <c r="O3" s="5">
        <f>IF(B25&gt;10,120,0)</f>
        <v>120</v>
      </c>
    </row>
    <row r="4" spans="1:16" s="5" customFormat="1" hidden="1">
      <c r="E4" s="5">
        <f>IF(K2=TRUE,1,0)</f>
        <v>1</v>
      </c>
      <c r="F4" s="5">
        <f>IF(K6=2,199,0)</f>
        <v>199</v>
      </c>
      <c r="G4" s="5">
        <f>IF(K6&lt;3,70,0)</f>
        <v>70</v>
      </c>
      <c r="I4" s="5">
        <f>IF(K6=2,285,0)</f>
        <v>285</v>
      </c>
      <c r="J4" s="5">
        <f>IF(K6=2,450,0)</f>
        <v>450</v>
      </c>
      <c r="K4" s="5" t="b">
        <v>1</v>
      </c>
      <c r="L4" s="5">
        <f>+SUM(L2:L3)</f>
        <v>0</v>
      </c>
      <c r="M4" s="5">
        <f>IF(K6=2,530,0)</f>
        <v>530</v>
      </c>
      <c r="N4" s="5">
        <f>IF(B25&gt;100,30*(B25-100),0)</f>
        <v>0</v>
      </c>
      <c r="O4" s="5">
        <f>IF(B25&gt;20,460,0)</f>
        <v>460</v>
      </c>
    </row>
    <row r="5" spans="1:16" s="5" customFormat="1" hidden="1">
      <c r="E5" s="5">
        <f>+E4+E3</f>
        <v>1</v>
      </c>
      <c r="I5" s="5">
        <f>+SUM(I2:I4)</f>
        <v>285</v>
      </c>
      <c r="K5" s="5">
        <v>7</v>
      </c>
      <c r="M5" s="5">
        <f>+SUM(M2:M4)</f>
        <v>530</v>
      </c>
      <c r="N5" s="5">
        <f>IF(B24&gt;10,30,0)</f>
        <v>30</v>
      </c>
      <c r="O5" s="5">
        <f>IF(B25&gt;30,917,0)</f>
        <v>917</v>
      </c>
    </row>
    <row r="6" spans="1:16" s="5" customFormat="1" hidden="1">
      <c r="K6" s="5">
        <v>2</v>
      </c>
      <c r="M6" s="5">
        <f ca="1">(IF(H2&lt;=1,0,150))</f>
        <v>150</v>
      </c>
      <c r="N6" s="5">
        <f>IF(B25&gt;30,30,0)</f>
        <v>30</v>
      </c>
      <c r="O6" s="5">
        <f>IF(B25&gt;40,ROUNDUP(((B25-40)/10),0)*123,0)</f>
        <v>738</v>
      </c>
    </row>
    <row r="7" spans="1:16" s="5" customFormat="1" hidden="1">
      <c r="N7" s="5">
        <f>IF(B25&gt;100,30,0)</f>
        <v>0</v>
      </c>
    </row>
    <row r="8" spans="1:16" hidden="1"/>
    <row r="9" spans="1:16">
      <c r="A9" t="s">
        <v>46</v>
      </c>
    </row>
    <row r="10" spans="1:16">
      <c r="A10" s="1"/>
    </row>
    <row r="11" spans="1:16" ht="18" customHeight="1">
      <c r="A11" s="6"/>
      <c r="B11" s="7"/>
      <c r="C11" s="7"/>
      <c r="D11" s="8"/>
    </row>
    <row r="12" spans="1:16" ht="18" customHeight="1">
      <c r="A12" s="9"/>
      <c r="D12" s="10"/>
      <c r="F12" s="14" t="s">
        <v>39</v>
      </c>
      <c r="G12" s="25"/>
      <c r="H12" s="26"/>
    </row>
    <row r="13" spans="1:16" ht="18" customHeight="1">
      <c r="A13" s="9"/>
      <c r="D13" s="10"/>
      <c r="F13" s="27" t="s">
        <v>38</v>
      </c>
      <c r="G13" s="28">
        <f>+B35+E35+H34+(K40*B27)</f>
        <v>9983.16</v>
      </c>
      <c r="H13" s="29"/>
    </row>
    <row r="14" spans="1:16">
      <c r="A14" s="9"/>
      <c r="D14" s="10"/>
      <c r="F14" s="27" t="s">
        <v>17</v>
      </c>
      <c r="G14" s="28">
        <f ca="1">+B40+E40+H39+(K45*B27)</f>
        <v>3449.2</v>
      </c>
      <c r="H14" s="29"/>
    </row>
    <row r="15" spans="1:16" ht="18.75">
      <c r="A15" s="9"/>
      <c r="B15" t="s">
        <v>7</v>
      </c>
      <c r="C15" s="37">
        <v>19</v>
      </c>
      <c r="D15" s="38"/>
      <c r="F15" s="27" t="s">
        <v>12</v>
      </c>
      <c r="G15" s="28">
        <f ca="1">+G14+G13</f>
        <v>13432.36</v>
      </c>
      <c r="H15" s="29"/>
    </row>
    <row r="16" spans="1:16">
      <c r="A16" s="9"/>
      <c r="D16" s="10"/>
      <c r="F16" s="27"/>
      <c r="G16" s="30"/>
      <c r="H16" s="29"/>
    </row>
    <row r="17" spans="1:11">
      <c r="A17" s="9"/>
      <c r="D17" s="10"/>
      <c r="F17" s="11" t="s">
        <v>40</v>
      </c>
      <c r="G17" s="31">
        <f>+H50</f>
        <v>4360</v>
      </c>
      <c r="H17" s="12" t="s">
        <v>41</v>
      </c>
    </row>
    <row r="18" spans="1:11">
      <c r="A18" s="9"/>
      <c r="D18" s="10"/>
    </row>
    <row r="19" spans="1:11">
      <c r="A19" s="11"/>
      <c r="B19" s="13"/>
      <c r="C19" s="13"/>
      <c r="D19" s="12"/>
    </row>
    <row r="21" spans="1:11">
      <c r="A21" s="6" t="s">
        <v>2</v>
      </c>
      <c r="B21" s="33">
        <f ca="1">TODAY()</f>
        <v>44904</v>
      </c>
    </row>
    <row r="22" spans="1:11">
      <c r="A22" s="9" t="s">
        <v>3</v>
      </c>
      <c r="B22" s="34">
        <v>43891</v>
      </c>
    </row>
    <row r="23" spans="1:11">
      <c r="A23" s="9" t="s">
        <v>4</v>
      </c>
      <c r="B23" s="35">
        <v>1</v>
      </c>
    </row>
    <row r="24" spans="1:11">
      <c r="A24" s="9" t="s">
        <v>5</v>
      </c>
      <c r="B24" s="35">
        <v>50</v>
      </c>
    </row>
    <row r="25" spans="1:11">
      <c r="A25" s="9" t="s">
        <v>6</v>
      </c>
      <c r="B25" s="35">
        <v>100</v>
      </c>
    </row>
    <row r="26" spans="1:11">
      <c r="A26" s="9" t="s">
        <v>8</v>
      </c>
      <c r="B26" s="35">
        <v>4</v>
      </c>
    </row>
    <row r="27" spans="1:11">
      <c r="A27" s="11" t="s">
        <v>32</v>
      </c>
      <c r="B27" s="36">
        <v>1.04</v>
      </c>
    </row>
    <row r="29" spans="1:11">
      <c r="A29" s="14" t="s">
        <v>20</v>
      </c>
      <c r="B29" s="8"/>
      <c r="D29" s="14" t="s">
        <v>21</v>
      </c>
      <c r="E29" s="8"/>
      <c r="G29" s="14" t="s">
        <v>0</v>
      </c>
      <c r="H29" s="8"/>
      <c r="J29" s="14" t="s">
        <v>1</v>
      </c>
      <c r="K29" s="8"/>
    </row>
    <row r="30" spans="1:11">
      <c r="A30" s="15" t="s">
        <v>11</v>
      </c>
      <c r="B30" s="10"/>
      <c r="D30" s="15" t="s">
        <v>11</v>
      </c>
      <c r="E30" s="10"/>
      <c r="G30" s="15" t="s">
        <v>11</v>
      </c>
      <c r="H30" s="10"/>
      <c r="J30" s="15" t="s">
        <v>11</v>
      </c>
      <c r="K30" s="10"/>
    </row>
    <row r="31" spans="1:11">
      <c r="A31" s="9" t="s">
        <v>13</v>
      </c>
      <c r="B31" s="16">
        <f>IF(K2=TRUE,40,0)</f>
        <v>40</v>
      </c>
      <c r="C31" s="2"/>
      <c r="D31" s="9" t="s">
        <v>13</v>
      </c>
      <c r="E31" s="16">
        <f>IF(K2=TRUE,85,0)</f>
        <v>85</v>
      </c>
      <c r="G31" s="9" t="s">
        <v>13</v>
      </c>
      <c r="H31" s="16">
        <f>IF(K3=TRUE,232,0)</f>
        <v>232</v>
      </c>
      <c r="J31" s="9" t="s">
        <v>13</v>
      </c>
      <c r="K31" s="21">
        <f>IF(K4=TRUE,344,0)</f>
        <v>344</v>
      </c>
    </row>
    <row r="32" spans="1:11">
      <c r="A32" s="9" t="s">
        <v>14</v>
      </c>
      <c r="B32" s="16">
        <f>IF(K2=TRUE,+SUM(F2:F4)-B31,0)</f>
        <v>159</v>
      </c>
      <c r="C32" s="2"/>
      <c r="D32" s="9" t="s">
        <v>14</v>
      </c>
      <c r="E32" s="16">
        <f>IF(K2=TRUE,+SUM(J2:J4)-E31,0)</f>
        <v>365</v>
      </c>
      <c r="G32" s="9" t="s">
        <v>47</v>
      </c>
      <c r="H32" s="16">
        <f>IF(K3=TRUE,85*C15,0)</f>
        <v>1615</v>
      </c>
      <c r="J32" s="9" t="s">
        <v>31</v>
      </c>
      <c r="K32" s="21">
        <f>IF(K4=TRUE,97*B23,0)</f>
        <v>97</v>
      </c>
    </row>
    <row r="33" spans="1:11">
      <c r="A33" s="9" t="s">
        <v>9</v>
      </c>
      <c r="B33" s="16">
        <f>IF(K2=TRUE,G4,0)</f>
        <v>70</v>
      </c>
      <c r="C33" s="2"/>
      <c r="D33" s="9" t="s">
        <v>9</v>
      </c>
      <c r="E33" s="16">
        <v>0</v>
      </c>
      <c r="G33" s="9" t="s">
        <v>14</v>
      </c>
      <c r="H33" s="17">
        <f>IF(K3=TRUE,650,0)</f>
        <v>650</v>
      </c>
      <c r="J33" s="9" t="s">
        <v>33</v>
      </c>
      <c r="K33" s="21">
        <f>IF(K4=TRUE,558,0)</f>
        <v>558</v>
      </c>
    </row>
    <row r="34" spans="1:11">
      <c r="A34" s="9" t="s">
        <v>10</v>
      </c>
      <c r="B34" s="17">
        <f>IF(K2=TRUE,+SUM(G2:G3),0)</f>
        <v>27.5</v>
      </c>
      <c r="C34" s="4"/>
      <c r="D34" s="9" t="s">
        <v>10</v>
      </c>
      <c r="E34" s="17">
        <f>IF(K2=TRUE,+SUM(G2:G3),0)</f>
        <v>27.5</v>
      </c>
      <c r="G34" s="15" t="s">
        <v>12</v>
      </c>
      <c r="H34" s="18">
        <f>+SUM(H31:H33)</f>
        <v>2497</v>
      </c>
      <c r="J34" s="9" t="s">
        <v>24</v>
      </c>
      <c r="K34" s="21">
        <f>IF(K4=TRUE,O2,0)</f>
        <v>2760</v>
      </c>
    </row>
    <row r="35" spans="1:11">
      <c r="A35" s="15" t="s">
        <v>19</v>
      </c>
      <c r="B35" s="18">
        <f>+SUM(B31:B34)</f>
        <v>296.5</v>
      </c>
      <c r="C35" s="3"/>
      <c r="D35" s="15" t="s">
        <v>19</v>
      </c>
      <c r="E35" s="18">
        <f>+SUM(E31:E34)</f>
        <v>477.5</v>
      </c>
      <c r="G35" s="9"/>
      <c r="H35" s="17"/>
      <c r="J35" s="9" t="s">
        <v>34</v>
      </c>
      <c r="K35" s="21">
        <f>IF(K4=TRUE,O3,0)</f>
        <v>120</v>
      </c>
    </row>
    <row r="36" spans="1:11">
      <c r="A36" s="9"/>
      <c r="B36" s="10"/>
      <c r="D36" s="9"/>
      <c r="E36" s="10"/>
      <c r="G36" s="15" t="s">
        <v>17</v>
      </c>
      <c r="H36" s="16"/>
      <c r="J36" s="9" t="s">
        <v>35</v>
      </c>
      <c r="K36" s="21">
        <f>IF(K4=TRUE,O4,0)</f>
        <v>460</v>
      </c>
    </row>
    <row r="37" spans="1:11">
      <c r="A37" s="15" t="s">
        <v>18</v>
      </c>
      <c r="B37" s="10"/>
      <c r="D37" s="15" t="s">
        <v>17</v>
      </c>
      <c r="E37" s="10"/>
      <c r="G37" s="9" t="s">
        <v>15</v>
      </c>
      <c r="H37" s="16">
        <f ca="1">IF(K3=TRUE,H3,0)</f>
        <v>2280</v>
      </c>
      <c r="J37" s="9" t="s">
        <v>23</v>
      </c>
      <c r="K37" s="21">
        <f>IF(K4=TRUE,O5,0)</f>
        <v>917</v>
      </c>
    </row>
    <row r="38" spans="1:11">
      <c r="A38" s="9" t="s">
        <v>15</v>
      </c>
      <c r="B38" s="16">
        <f>IF(E5=2,140,0)</f>
        <v>0</v>
      </c>
      <c r="D38" s="9" t="s">
        <v>15</v>
      </c>
      <c r="E38" s="16">
        <f>IF(E5=2,18.5*19,0)</f>
        <v>0</v>
      </c>
      <c r="G38" s="9" t="s">
        <v>16</v>
      </c>
      <c r="H38" s="17">
        <f ca="1">IF(K3=TRUE,M6,0)</f>
        <v>150</v>
      </c>
      <c r="J38" s="9" t="s">
        <v>36</v>
      </c>
      <c r="K38" s="21">
        <f>IF(K4=TRUE,O6,0)</f>
        <v>738</v>
      </c>
    </row>
    <row r="39" spans="1:11">
      <c r="A39" s="9" t="s">
        <v>16</v>
      </c>
      <c r="B39" s="17">
        <f>IF(E5=2,I5-B38,0)</f>
        <v>0</v>
      </c>
      <c r="D39" s="9" t="s">
        <v>16</v>
      </c>
      <c r="E39" s="16">
        <f>IF(E5=2,M5-E38,0)</f>
        <v>0</v>
      </c>
      <c r="G39" s="15" t="s">
        <v>12</v>
      </c>
      <c r="H39" s="18">
        <f ca="1">+H38+H37</f>
        <v>2430</v>
      </c>
      <c r="J39" s="9" t="s">
        <v>14</v>
      </c>
      <c r="K39" s="22">
        <f>IF(K4=TRUE,460,0)</f>
        <v>460</v>
      </c>
    </row>
    <row r="40" spans="1:11">
      <c r="A40" s="19" t="s">
        <v>19</v>
      </c>
      <c r="B40" s="20">
        <f>+B39+B38</f>
        <v>0</v>
      </c>
      <c r="D40" s="19" t="s">
        <v>19</v>
      </c>
      <c r="E40" s="20">
        <f>+E39+E38</f>
        <v>0</v>
      </c>
      <c r="G40" s="9"/>
      <c r="H40" s="16"/>
      <c r="J40" s="15" t="s">
        <v>12</v>
      </c>
      <c r="K40" s="23">
        <f>+SUM(K31:K39)</f>
        <v>6454</v>
      </c>
    </row>
    <row r="41" spans="1:11">
      <c r="A41" t="s">
        <v>43</v>
      </c>
      <c r="B41" s="2"/>
      <c r="D41" t="s">
        <v>42</v>
      </c>
      <c r="G41" s="15" t="s">
        <v>30</v>
      </c>
      <c r="H41" s="16"/>
      <c r="J41" s="9"/>
      <c r="K41" s="21"/>
    </row>
    <row r="42" spans="1:11">
      <c r="G42" s="42" t="s">
        <v>22</v>
      </c>
      <c r="H42" s="43">
        <f>IF(K3=TRUE,600,0)</f>
        <v>600</v>
      </c>
      <c r="J42" s="15" t="s">
        <v>17</v>
      </c>
      <c r="K42" s="21"/>
    </row>
    <row r="43" spans="1:11">
      <c r="G43" s="9" t="s">
        <v>24</v>
      </c>
      <c r="H43" s="16">
        <f>IF(K3=TRUE,N2,0)</f>
        <v>2000</v>
      </c>
      <c r="J43" s="9" t="s">
        <v>15</v>
      </c>
      <c r="K43" s="21">
        <f ca="1">IF(K4=TRUE,(H2*336),0)</f>
        <v>672</v>
      </c>
    </row>
    <row r="44" spans="1:11">
      <c r="G44" s="9" t="s">
        <v>23</v>
      </c>
      <c r="H44" s="16">
        <f>IF(K3=TRUE,N3,0)</f>
        <v>1400</v>
      </c>
      <c r="J44" s="9" t="s">
        <v>16</v>
      </c>
      <c r="K44" s="21">
        <f ca="1">IF(K4=TRUE,P2,0)</f>
        <v>308</v>
      </c>
    </row>
    <row r="45" spans="1:11">
      <c r="G45" s="9" t="s">
        <v>25</v>
      </c>
      <c r="H45" s="16">
        <f>IF(K3=TRUE,N4,0)</f>
        <v>0</v>
      </c>
      <c r="J45" s="19" t="s">
        <v>12</v>
      </c>
      <c r="K45" s="24">
        <f ca="1">+K44+K43</f>
        <v>980</v>
      </c>
    </row>
    <row r="46" spans="1:11">
      <c r="G46" s="44" t="s">
        <v>26</v>
      </c>
      <c r="H46" s="45">
        <f>IF(K3=TRUE,300,0)</f>
        <v>300</v>
      </c>
      <c r="J46" s="7" t="s">
        <v>44</v>
      </c>
    </row>
    <row r="47" spans="1:11">
      <c r="G47" s="9" t="s">
        <v>27</v>
      </c>
      <c r="H47" s="16">
        <f>IF(K3=TRUE,N5,0)</f>
        <v>30</v>
      </c>
    </row>
    <row r="48" spans="1:11">
      <c r="G48" s="9" t="s">
        <v>28</v>
      </c>
      <c r="H48" s="16">
        <f>IF(K3=TRUE,N6,0)</f>
        <v>30</v>
      </c>
    </row>
    <row r="49" spans="7:8">
      <c r="G49" s="9" t="s">
        <v>29</v>
      </c>
      <c r="H49" s="17">
        <f>IF(K3=TRUE,N7,0)</f>
        <v>0</v>
      </c>
    </row>
    <row r="50" spans="7:8">
      <c r="G50" s="15" t="s">
        <v>12</v>
      </c>
      <c r="H50" s="18">
        <f>+SUM(H42:H49)</f>
        <v>4360</v>
      </c>
    </row>
    <row r="51" spans="7:8">
      <c r="G51" s="15"/>
      <c r="H51" s="18"/>
    </row>
    <row r="52" spans="7:8">
      <c r="G52" s="15" t="s">
        <v>48</v>
      </c>
      <c r="H52" s="18"/>
    </row>
    <row r="53" spans="7:8">
      <c r="G53" s="40" t="s">
        <v>49</v>
      </c>
      <c r="H53" s="41">
        <f>IF(K3=TRUE,700,0)</f>
        <v>700</v>
      </c>
    </row>
    <row r="54" spans="7:8">
      <c r="G54" s="40" t="s">
        <v>50</v>
      </c>
      <c r="H54" s="41">
        <f>IF(K3=TRUE,300,0)</f>
        <v>300</v>
      </c>
    </row>
    <row r="55" spans="7:8">
      <c r="G55" s="40" t="s">
        <v>52</v>
      </c>
      <c r="H55" s="41">
        <f>IF(K3=TRUE,100,0)</f>
        <v>100</v>
      </c>
    </row>
    <row r="56" spans="7:8">
      <c r="G56" s="40" t="s">
        <v>51</v>
      </c>
      <c r="H56" s="41">
        <f>IF(K3=TRUE,50,0)</f>
        <v>50</v>
      </c>
    </row>
    <row r="57" spans="7:8">
      <c r="G57" s="19" t="s">
        <v>12</v>
      </c>
      <c r="H57" s="20">
        <f>SUM(H53:H56)</f>
        <v>1150</v>
      </c>
    </row>
    <row r="58" spans="7:8">
      <c r="G58" s="39" t="s">
        <v>45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38100</xdr:colOff>
                    <xdr:row>13</xdr:row>
                    <xdr:rowOff>123825</xdr:rowOff>
                  </from>
                  <to>
                    <xdr:col>0</xdr:col>
                    <xdr:colOff>1562100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114300</xdr:rowOff>
                  </from>
                  <to>
                    <xdr:col>0</xdr:col>
                    <xdr:colOff>1552575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38100</xdr:colOff>
                    <xdr:row>10</xdr:row>
                    <xdr:rowOff>114300</xdr:rowOff>
                  </from>
                  <to>
                    <xdr:col>0</xdr:col>
                    <xdr:colOff>1562100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Option Button 9">
              <controlPr defaultSize="0" autoFill="0" autoLine="0" autoPict="0">
                <anchor moveWithCells="1">
                  <from>
                    <xdr:col>0</xdr:col>
                    <xdr:colOff>1266825</xdr:colOff>
                    <xdr:row>11</xdr:row>
                    <xdr:rowOff>38100</xdr:rowOff>
                  </from>
                  <to>
                    <xdr:col>2</xdr:col>
                    <xdr:colOff>152400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Option Button 10">
              <controlPr defaultSize="0" autoFill="0" autoLine="0" autoPict="0">
                <anchor moveWithCells="1">
                  <from>
                    <xdr:col>0</xdr:col>
                    <xdr:colOff>1266825</xdr:colOff>
                    <xdr:row>12</xdr:row>
                    <xdr:rowOff>28575</xdr:rowOff>
                  </from>
                  <to>
                    <xdr:col>2</xdr:col>
                    <xdr:colOff>638175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Option Button 11">
              <controlPr defaultSize="0" autoFill="0" autoLine="0" autoPict="0">
                <anchor moveWithCells="1">
                  <from>
                    <xdr:col>0</xdr:col>
                    <xdr:colOff>1285875</xdr:colOff>
                    <xdr:row>9</xdr:row>
                    <xdr:rowOff>190500</xdr:rowOff>
                  </from>
                  <to>
                    <xdr:col>1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Spinner 12">
              <controlPr defaultSize="0" autoPict="0">
                <anchor moveWithCells="1" sizeWithCells="1">
                  <from>
                    <xdr:col>1</xdr:col>
                    <xdr:colOff>1247775</xdr:colOff>
                    <xdr:row>24</xdr:row>
                    <xdr:rowOff>200025</xdr:rowOff>
                  </from>
                  <to>
                    <xdr:col>1</xdr:col>
                    <xdr:colOff>1524000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Spinner 13">
              <controlPr defaultSize="0" autoPict="0">
                <anchor moveWithCells="1" sizeWithCells="1">
                  <from>
                    <xdr:col>2</xdr:col>
                    <xdr:colOff>561975</xdr:colOff>
                    <xdr:row>13</xdr:row>
                    <xdr:rowOff>142875</xdr:rowOff>
                  </from>
                  <to>
                    <xdr:col>2</xdr:col>
                    <xdr:colOff>828675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2</xdr:col>
                    <xdr:colOff>581025</xdr:colOff>
                    <xdr:row>10</xdr:row>
                    <xdr:rowOff>161925</xdr:rowOff>
                  </from>
                  <to>
                    <xdr:col>3</xdr:col>
                    <xdr:colOff>1285875</xdr:colOff>
                    <xdr:row>12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Tamuka Masvingise</cp:lastModifiedBy>
  <dcterms:created xsi:type="dcterms:W3CDTF">2022-11-29T10:37:15Z</dcterms:created>
  <dcterms:modified xsi:type="dcterms:W3CDTF">2022-12-09T10:15:45Z</dcterms:modified>
</cp:coreProperties>
</file>