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thonyvanzantwijk/Dropbox/S&amp;Z/GlobalIPCo_Docs/"/>
    </mc:Choice>
  </mc:AlternateContent>
  <xr:revisionPtr revIDLastSave="0" documentId="13_ncr:1_{DA62ACBF-C30A-1C44-B866-23BE91FD198A}" xr6:coauthVersionLast="47" xr6:coauthVersionMax="47" xr10:uidLastSave="{00000000-0000-0000-0000-000000000000}"/>
  <bookViews>
    <workbookView xWindow="2920" yWindow="740" windowWidth="30540" windowHeight="17260" xr2:uid="{E2D9E009-2CF1-624C-B5E3-201F3A61C23C}"/>
  </bookViews>
  <sheets>
    <sheet name="GlobalIPCo African Patent Cost" sheetId="1" r:id="rId1"/>
    <sheet name="Countries - Stats" sheetId="2" r:id="rId2"/>
  </sheets>
  <definedNames>
    <definedName name="_xlnm.Print_Area" localSheetId="1">'Countries - Stats'!$A$1:$O$38</definedName>
    <definedName name="_xlnm.Print_Area" localSheetId="0">'GlobalIPCo African Patent Cost'!$A$1:$N$72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1" l="1"/>
  <c r="Q4" i="1" l="1"/>
  <c r="M4" i="1"/>
  <c r="H69" i="1"/>
  <c r="H68" i="1"/>
  <c r="H67" i="1"/>
  <c r="H66" i="1"/>
  <c r="H70" i="1" l="1"/>
  <c r="G32" i="1" s="1"/>
  <c r="AI6" i="1" l="1"/>
  <c r="AH6" i="1"/>
  <c r="AI4" i="1"/>
  <c r="AH4" i="1"/>
  <c r="AG4" i="1"/>
  <c r="AG5" i="1" s="1"/>
  <c r="AG6" i="1" s="1"/>
  <c r="AF4" i="1"/>
  <c r="AF5" i="1" s="1"/>
  <c r="AF6" i="1" s="1"/>
  <c r="K6" i="2"/>
  <c r="J6" i="2"/>
  <c r="G21" i="2"/>
  <c r="F21" i="2"/>
  <c r="C24" i="2"/>
  <c r="B24" i="2"/>
  <c r="AH5" i="1" l="1"/>
  <c r="AI5" i="1"/>
  <c r="AI3" i="1"/>
  <c r="AH3" i="1"/>
  <c r="AI2" i="1"/>
  <c r="AH2" i="1"/>
  <c r="AC16" i="1"/>
  <c r="AD16" i="1"/>
  <c r="V10" i="1"/>
  <c r="V8" i="1"/>
  <c r="V9" i="1"/>
  <c r="AD15" i="1"/>
  <c r="AD14" i="1"/>
  <c r="AD13" i="1"/>
  <c r="AD12" i="1"/>
  <c r="AD11" i="1"/>
  <c r="AD10" i="1"/>
  <c r="AD9" i="1"/>
  <c r="AD8" i="1"/>
  <c r="AD7" i="1"/>
  <c r="AD6" i="1"/>
  <c r="AD5" i="1"/>
  <c r="AD4" i="1"/>
  <c r="AD3" i="1"/>
  <c r="AC15" i="1"/>
  <c r="AC14" i="1"/>
  <c r="AC13" i="1"/>
  <c r="AC12" i="1"/>
  <c r="AC11" i="1"/>
  <c r="AC10" i="1"/>
  <c r="AC9" i="1"/>
  <c r="AC8" i="1"/>
  <c r="AC7" i="1"/>
  <c r="AC6" i="1"/>
  <c r="AC5" i="1"/>
  <c r="AC4" i="1"/>
  <c r="AC3" i="1"/>
  <c r="AD2" i="1"/>
  <c r="AC2" i="1"/>
  <c r="X5" i="1" l="1"/>
  <c r="W5" i="1"/>
  <c r="R7" i="1"/>
  <c r="H59" i="1"/>
  <c r="H55" i="1"/>
  <c r="R6" i="1"/>
  <c r="R5" i="1"/>
  <c r="R4" i="1"/>
  <c r="R3" i="1"/>
  <c r="R2" i="1"/>
  <c r="M3" i="1"/>
  <c r="M2" i="1"/>
  <c r="H46" i="1"/>
  <c r="H45" i="1"/>
  <c r="H44" i="1"/>
  <c r="P3" i="1" l="1"/>
  <c r="P2" i="1"/>
  <c r="Q3" i="1"/>
  <c r="Q2" i="1"/>
  <c r="N4" i="1"/>
  <c r="N3" i="1"/>
  <c r="N2" i="1"/>
  <c r="E45" i="1"/>
  <c r="K4" i="1"/>
  <c r="K3" i="1"/>
  <c r="J4" i="1"/>
  <c r="J3" i="1"/>
  <c r="J2" i="1"/>
  <c r="B45" i="1"/>
  <c r="K52" i="1"/>
  <c r="S6" i="1"/>
  <c r="K51" i="1" s="1"/>
  <c r="S5" i="1"/>
  <c r="K50" i="1" s="1"/>
  <c r="S4" i="1"/>
  <c r="K49" i="1" s="1"/>
  <c r="S3" i="1"/>
  <c r="K48" i="1" s="1"/>
  <c r="S2" i="1"/>
  <c r="K47" i="1" s="1"/>
  <c r="K46" i="1"/>
  <c r="K45" i="1"/>
  <c r="K44" i="1"/>
  <c r="I4" i="1"/>
  <c r="I3" i="1"/>
  <c r="H62" i="1"/>
  <c r="H60" i="1"/>
  <c r="H58" i="1"/>
  <c r="H57" i="1"/>
  <c r="H56" i="1"/>
  <c r="I5" i="1" l="1"/>
  <c r="E52" i="1" s="1"/>
  <c r="E46" i="1"/>
  <c r="Q5" i="1"/>
  <c r="K53" i="1"/>
  <c r="H61" i="1"/>
  <c r="H63" i="1" s="1"/>
  <c r="G30" i="1" s="1"/>
  <c r="P4" i="1"/>
  <c r="M5" i="1"/>
  <c r="B47" i="1"/>
  <c r="B34" i="1"/>
  <c r="X10" i="1" l="1"/>
  <c r="W10" i="1"/>
  <c r="B52" i="1"/>
  <c r="B53" i="1" s="1"/>
  <c r="E53" i="1"/>
  <c r="E54" i="1" s="1"/>
  <c r="B46" i="1"/>
  <c r="H47" i="1"/>
  <c r="B48" i="1"/>
  <c r="E48" i="1"/>
  <c r="E49" i="1" s="1"/>
  <c r="L2" i="1"/>
  <c r="X9" i="1" l="1"/>
  <c r="W9" i="1"/>
  <c r="L3" i="1"/>
  <c r="H50" i="1" s="1"/>
  <c r="Q6" i="1"/>
  <c r="H51" i="1" s="1"/>
  <c r="K56" i="1"/>
  <c r="T2" i="1"/>
  <c r="K57" i="1" s="1"/>
  <c r="B54" i="1"/>
  <c r="B58" i="1" s="1"/>
  <c r="B49" i="1"/>
  <c r="B57" i="1" s="1"/>
  <c r="B59" i="1" l="1"/>
  <c r="X8" i="1"/>
  <c r="W8" i="1"/>
  <c r="G25" i="1"/>
  <c r="K58" i="1"/>
  <c r="H52" i="1"/>
  <c r="G26" i="1" l="1"/>
  <c r="G27" i="1" s="1"/>
</calcChain>
</file>

<file path=xl/sharedStrings.xml><?xml version="1.0" encoding="utf-8"?>
<sst xmlns="http://schemas.openxmlformats.org/spreadsheetml/2006/main" count="234" uniqueCount="170">
  <si>
    <t>ARIPO</t>
  </si>
  <si>
    <t>OAPI</t>
  </si>
  <si>
    <t>Today's date:</t>
  </si>
  <si>
    <t>PCT filing date:</t>
  </si>
  <si>
    <t>No. priority claims:</t>
  </si>
  <si>
    <t>No. claims:</t>
  </si>
  <si>
    <t>No. pages:</t>
  </si>
  <si>
    <t>No. patents in courier parcel:</t>
  </si>
  <si>
    <t>Acceptance and publication</t>
  </si>
  <si>
    <t>Courier</t>
  </si>
  <si>
    <t>Filing</t>
  </si>
  <si>
    <t>Total</t>
  </si>
  <si>
    <t>Filing (official)</t>
  </si>
  <si>
    <t>Filing (professional)</t>
  </si>
  <si>
    <t>Renewal (official)</t>
  </si>
  <si>
    <t>Renewal (professional)</t>
  </si>
  <si>
    <t>Renewal</t>
  </si>
  <si>
    <t>Renewal "to term"</t>
  </si>
  <si>
    <t>Subtotal</t>
  </si>
  <si>
    <t>SOUTH AFRICA</t>
  </si>
  <si>
    <t>NIGERIA</t>
  </si>
  <si>
    <t>Examination (official)</t>
  </si>
  <si>
    <t>Surplus pages (+30) (official)</t>
  </si>
  <si>
    <t>Surplus claims (+10) (official)</t>
  </si>
  <si>
    <t>Surplus pages (+100) (official)</t>
  </si>
  <si>
    <t>Examination (professional)</t>
  </si>
  <si>
    <t>Surplus claims (+10) (professional)</t>
  </si>
  <si>
    <t>Surplus pages (+30) (professional)</t>
  </si>
  <si>
    <t>Surplus pages (+100) (professional)</t>
  </si>
  <si>
    <r>
      <t xml:space="preserve">Examination </t>
    </r>
    <r>
      <rPr>
        <sz val="12"/>
        <color theme="1"/>
        <rFont val="Calibri"/>
        <family val="2"/>
        <scheme val="minor"/>
      </rPr>
      <t>(PCT filing date + 3yrs)</t>
    </r>
  </si>
  <si>
    <t>Priority (official)</t>
  </si>
  <si>
    <t>Euro:US$ conversion</t>
  </si>
  <si>
    <t>Publication (official)</t>
  </si>
  <si>
    <t>Surplus pages (+10) (official)</t>
  </si>
  <si>
    <t>Surplus pages (+20) (official)</t>
  </si>
  <si>
    <t>Surplus pages (+40) (official)</t>
  </si>
  <si>
    <t>African Patent Costs</t>
  </si>
  <si>
    <t>Fiiling cost</t>
  </si>
  <si>
    <t>Firm: Crown &amp; Shields</t>
  </si>
  <si>
    <t>Firm: Atanga</t>
  </si>
  <si>
    <t>Firm: Samuriwo</t>
  </si>
  <si>
    <t>State designation (official)</t>
  </si>
  <si>
    <t>Surplus claims (+10)</t>
  </si>
  <si>
    <t>Euro</t>
  </si>
  <si>
    <t>Surplus pages (+10)</t>
  </si>
  <si>
    <t>Surplus pages (+20)</t>
  </si>
  <si>
    <t>Surplus pages (+30)</t>
  </si>
  <si>
    <t>Surplus pages (+40)</t>
  </si>
  <si>
    <t>Filing professional</t>
  </si>
  <si>
    <t>Renewal official (1-4)</t>
  </si>
  <si>
    <t>Renewal official (5-9)</t>
  </si>
  <si>
    <t>Renewal official (10-14)</t>
  </si>
  <si>
    <t>Renewal official (14-19)</t>
  </si>
  <si>
    <t>Renewal professional</t>
  </si>
  <si>
    <t>Filing official</t>
  </si>
  <si>
    <t>Priority official</t>
  </si>
  <si>
    <t>Publication official</t>
  </si>
  <si>
    <t>South Africa</t>
  </si>
  <si>
    <t>USD</t>
  </si>
  <si>
    <t>Filing professional (traditional)</t>
  </si>
  <si>
    <t>Filing professional online (no discount)</t>
  </si>
  <si>
    <t>Filing professional online (discounted)</t>
  </si>
  <si>
    <t>Publication</t>
  </si>
  <si>
    <t>Nigeria</t>
  </si>
  <si>
    <t>Renewal official</t>
  </si>
  <si>
    <t>Total renewal (traditional)</t>
  </si>
  <si>
    <t>Total renewal online (no discount)</t>
  </si>
  <si>
    <t>Total renewal online (discounted)</t>
  </si>
  <si>
    <t>Total renewal (no discount)</t>
  </si>
  <si>
    <t>Total renewal (discounted)</t>
  </si>
  <si>
    <t>ARIPO Exam. Cost</t>
  </si>
  <si>
    <t>Total renewal official</t>
  </si>
  <si>
    <t>(Due third year from PCT filing date)</t>
  </si>
  <si>
    <t>Designation (official)</t>
  </si>
  <si>
    <t>Renewal official year 2</t>
  </si>
  <si>
    <t>Renewal official year 1</t>
  </si>
  <si>
    <t>Renewal profesional</t>
  </si>
  <si>
    <t>Official examination</t>
  </si>
  <si>
    <t>Surplus claim (+10) official</t>
  </si>
  <si>
    <t>Surplus page (+30) official</t>
  </si>
  <si>
    <t>Surplus page (+100) official</t>
  </si>
  <si>
    <t>Surplus claim (+10) professional</t>
  </si>
  <si>
    <t>Surplus page (+30) professional</t>
  </si>
  <si>
    <t>Professional examination</t>
  </si>
  <si>
    <t>Surplus page (+100) professional</t>
  </si>
  <si>
    <t>Population</t>
  </si>
  <si>
    <t>SANi</t>
  </si>
  <si>
    <t>GDP</t>
  </si>
  <si>
    <t>ARIPO1</t>
  </si>
  <si>
    <t>ARIPO2</t>
  </si>
  <si>
    <t>ARIPO3</t>
  </si>
  <si>
    <t>ARIPO4</t>
  </si>
  <si>
    <t>ARIPO5</t>
  </si>
  <si>
    <t>ARIPO6</t>
  </si>
  <si>
    <t>ARIPO7</t>
  </si>
  <si>
    <t>ARIPO8</t>
  </si>
  <si>
    <t>ARIPO9</t>
  </si>
  <si>
    <t>ARIPO10</t>
  </si>
  <si>
    <t>ARIPO11</t>
  </si>
  <si>
    <t>ARIPO12</t>
  </si>
  <si>
    <t>ARIPO13</t>
  </si>
  <si>
    <t>ARIPO14</t>
  </si>
  <si>
    <t>Patent</t>
  </si>
  <si>
    <t>ARIPO15</t>
  </si>
  <si>
    <t>ARIPO16</t>
  </si>
  <si>
    <t>ARIPO17</t>
  </si>
  <si>
    <t>ARIPO18</t>
  </si>
  <si>
    <t>Tip: select Kenya, Ghana, Tanzania, Uganda, Sudan, Zimbabwe, Zambia</t>
  </si>
  <si>
    <t>Filing Cost ($) / GDP ($bill.)</t>
  </si>
  <si>
    <t>Filing Cost ($) / Population (mill.)</t>
  </si>
  <si>
    <t>System: GlobalIPCo.com</t>
  </si>
  <si>
    <t>17 States</t>
  </si>
  <si>
    <t>SANi total filing</t>
  </si>
  <si>
    <t>SANi total renewal</t>
  </si>
  <si>
    <t>SANi grant total</t>
  </si>
  <si>
    <t>Countries</t>
  </si>
  <si>
    <t>Botswana</t>
  </si>
  <si>
    <t>Benin</t>
  </si>
  <si>
    <t>Gambia</t>
  </si>
  <si>
    <t>Burkino Faso</t>
  </si>
  <si>
    <t>Ghana</t>
  </si>
  <si>
    <t>Cameroon</t>
  </si>
  <si>
    <t>Kenya</t>
  </si>
  <si>
    <t>Central African Republic</t>
  </si>
  <si>
    <t>Lesotho</t>
  </si>
  <si>
    <t>Chad</t>
  </si>
  <si>
    <t>Liberia</t>
  </si>
  <si>
    <t>Comoros</t>
  </si>
  <si>
    <t>Malawi</t>
  </si>
  <si>
    <t>Equatorial Guinea</t>
  </si>
  <si>
    <t>Mozambique</t>
  </si>
  <si>
    <t>Gabon</t>
  </si>
  <si>
    <t>Namibia</t>
  </si>
  <si>
    <t>Giunea-Bissau</t>
  </si>
  <si>
    <t>Rwanda</t>
  </si>
  <si>
    <t>Guinea</t>
  </si>
  <si>
    <t>Sao Tome</t>
  </si>
  <si>
    <t>Ivory Coast</t>
  </si>
  <si>
    <t>Sierra Leone</t>
  </si>
  <si>
    <t>Mali</t>
  </si>
  <si>
    <t>Sudan</t>
  </si>
  <si>
    <t>Mauritania</t>
  </si>
  <si>
    <t>Swaziland</t>
  </si>
  <si>
    <t>Niger</t>
  </si>
  <si>
    <t>Tanzania</t>
  </si>
  <si>
    <t>Republic of the Congo</t>
  </si>
  <si>
    <t>Uganda</t>
  </si>
  <si>
    <t>Senegal</t>
  </si>
  <si>
    <t>Zambia</t>
  </si>
  <si>
    <t>Togo</t>
  </si>
  <si>
    <t>Zimbabwe</t>
  </si>
  <si>
    <t>(Seychelles)</t>
  </si>
  <si>
    <t>(Cape Verde)</t>
  </si>
  <si>
    <t>GDP (billion USD)</t>
  </si>
  <si>
    <t>Population (million)</t>
  </si>
  <si>
    <t>(2021 data)</t>
  </si>
  <si>
    <t>* Suggested selection</t>
  </si>
  <si>
    <t>ARIPO19</t>
  </si>
  <si>
    <t>ARIPO20</t>
  </si>
  <si>
    <t>Number of States</t>
  </si>
  <si>
    <t>Firm: Sibanda &amp; Zantwijk  (snz.co.za)</t>
  </si>
  <si>
    <t>TOTAL COST</t>
  </si>
  <si>
    <t>Grant and publication</t>
  </si>
  <si>
    <t>Grant and publication (official)</t>
  </si>
  <si>
    <t>Grant and publication (professional)</t>
  </si>
  <si>
    <t>Collection and checking of certificate</t>
  </si>
  <si>
    <t>ARIPO Grant Cost</t>
  </si>
  <si>
    <t>Downstream costs:</t>
  </si>
  <si>
    <t>(Version 2.02, 9 Dec 2022)</t>
  </si>
  <si>
    <r>
      <t xml:space="preserve">                                  (   ) </t>
    </r>
    <r>
      <rPr>
        <sz val="14"/>
        <color theme="0" tint="-0.34998626667073579"/>
        <rFont val="Calibri (Body)"/>
      </rPr>
      <t>Online option (law firm discount</t>
    </r>
    <r>
      <rPr>
        <sz val="12"/>
        <color theme="0" tint="-0.34998626667073579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</si>
</sst>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1C09]dd\ mmmm\ yyyy;@"/>
    <numFmt numFmtId="165" formatCode="[$$-45C]#,##0"/>
    <numFmt numFmtId="166" formatCode="[$€-2]\ #,##0"/>
    <numFmt numFmtId="167" formatCode="[$$-45C]#,##0.00"/>
  </numFmts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rgb="FFC00000"/>
      <name val="Calibri"/>
      <family val="2"/>
      <scheme val="minor"/>
    </font>
    <font>
      <sz val="13"/>
      <color rgb="FF000000"/>
      <name val="Lucida Grande"/>
      <family val="2"/>
    </font>
    <font>
      <sz val="12"/>
      <color rgb="FF000000"/>
      <name val="Calibri"/>
      <family val="2"/>
      <scheme val="minor"/>
    </font>
    <font>
      <u/>
      <sz val="12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4"/>
      <color theme="0" tint="-0.34998626667073579"/>
      <name val="Calibri (Body)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/>
      <right style="thin">
        <color rgb="FFC00000"/>
      </right>
      <top/>
      <bottom/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/>
      <top/>
      <bottom/>
      <diagonal/>
    </border>
    <border>
      <left/>
      <right style="thin">
        <color theme="4" tint="-0.499984740745262"/>
      </right>
      <top/>
      <bottom/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auto="1"/>
      </left>
      <right/>
      <top style="thin">
        <color rgb="FFC00000"/>
      </top>
      <bottom/>
      <diagonal/>
    </border>
    <border>
      <left style="thin">
        <color auto="1"/>
      </left>
      <right/>
      <top/>
      <bottom style="thin">
        <color rgb="FFC00000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2" borderId="0" xfId="0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4" xfId="0" applyFill="1" applyBorder="1"/>
    <xf numFmtId="0" fontId="0" fillId="2" borderId="5" xfId="0" applyFill="1" applyBorder="1"/>
    <xf numFmtId="0" fontId="6" fillId="4" borderId="4" xfId="0" applyFont="1" applyFill="1" applyBorder="1"/>
    <xf numFmtId="165" fontId="0" fillId="2" borderId="0" xfId="0" applyNumberFormat="1" applyFill="1"/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5" xfId="0" applyBorder="1" applyProtection="1">
      <protection locked="0"/>
    </xf>
    <xf numFmtId="0" fontId="1" fillId="0" borderId="4" xfId="0" applyFont="1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7" xfId="0" applyBorder="1" applyProtection="1">
      <protection locked="0"/>
    </xf>
    <xf numFmtId="0" fontId="9" fillId="0" borderId="1" xfId="0" applyFont="1" applyBorder="1"/>
    <xf numFmtId="0" fontId="0" fillId="2" borderId="0" xfId="0" applyFill="1" applyProtection="1">
      <protection locked="0"/>
    </xf>
    <xf numFmtId="0" fontId="1" fillId="0" borderId="1" xfId="0" applyFont="1" applyBorder="1"/>
    <xf numFmtId="0" fontId="1" fillId="0" borderId="4" xfId="0" applyFont="1" applyBorder="1"/>
    <xf numFmtId="165" fontId="0" fillId="0" borderId="5" xfId="0" applyNumberFormat="1" applyBorder="1"/>
    <xf numFmtId="166" fontId="0" fillId="0" borderId="5" xfId="0" applyNumberFormat="1" applyBorder="1"/>
    <xf numFmtId="165" fontId="3" fillId="0" borderId="5" xfId="0" applyNumberFormat="1" applyFont="1" applyBorder="1"/>
    <xf numFmtId="165" fontId="1" fillId="0" borderId="5" xfId="0" applyNumberFormat="1" applyFont="1" applyBorder="1"/>
    <xf numFmtId="166" fontId="3" fillId="0" borderId="5" xfId="0" applyNumberFormat="1" applyFont="1" applyBorder="1"/>
    <xf numFmtId="166" fontId="1" fillId="0" borderId="5" xfId="0" applyNumberFormat="1" applyFont="1" applyBorder="1"/>
    <xf numFmtId="0" fontId="1" fillId="0" borderId="6" xfId="0" applyFont="1" applyBorder="1"/>
    <xf numFmtId="166" fontId="1" fillId="0" borderId="8" xfId="0" applyNumberFormat="1" applyFont="1" applyBorder="1"/>
    <xf numFmtId="165" fontId="1" fillId="0" borderId="7" xfId="0" applyNumberFormat="1" applyFont="1" applyBorder="1"/>
    <xf numFmtId="0" fontId="0" fillId="0" borderId="7" xfId="0" applyBorder="1"/>
    <xf numFmtId="0" fontId="0" fillId="0" borderId="8" xfId="0" applyBorder="1"/>
    <xf numFmtId="165" fontId="1" fillId="0" borderId="8" xfId="0" applyNumberFormat="1" applyFont="1" applyBorder="1"/>
    <xf numFmtId="0" fontId="1" fillId="0" borderId="1" xfId="0" applyFont="1" applyBorder="1" applyAlignment="1">
      <alignment vertical="center"/>
    </xf>
    <xf numFmtId="0" fontId="0" fillId="0" borderId="4" xfId="0" applyBorder="1" applyAlignment="1">
      <alignment vertical="center"/>
    </xf>
    <xf numFmtId="2" fontId="0" fillId="0" borderId="5" xfId="0" applyNumberFormat="1" applyBorder="1"/>
    <xf numFmtId="2" fontId="3" fillId="0" borderId="5" xfId="0" applyNumberFormat="1" applyFont="1" applyBorder="1"/>
    <xf numFmtId="167" fontId="1" fillId="0" borderId="7" xfId="0" applyNumberFormat="1" applyFont="1" applyBorder="1"/>
    <xf numFmtId="2" fontId="1" fillId="0" borderId="8" xfId="0" applyNumberFormat="1" applyFont="1" applyBorder="1"/>
    <xf numFmtId="0" fontId="1" fillId="0" borderId="6" xfId="0" applyFont="1" applyBorder="1" applyAlignment="1">
      <alignment vertical="center"/>
    </xf>
    <xf numFmtId="2" fontId="0" fillId="0" borderId="5" xfId="0" applyNumberFormat="1" applyBorder="1" applyAlignment="1">
      <alignment vertical="center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164" fontId="0" fillId="3" borderId="10" xfId="0" applyNumberFormat="1" applyFill="1" applyBorder="1" applyAlignment="1" applyProtection="1">
      <alignment horizontal="center"/>
      <protection locked="0"/>
    </xf>
    <xf numFmtId="164" fontId="0" fillId="3" borderId="11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vertical="center"/>
    </xf>
    <xf numFmtId="0" fontId="1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165" fontId="4" fillId="0" borderId="17" xfId="0" applyNumberFormat="1" applyFont="1" applyBorder="1"/>
    <xf numFmtId="165" fontId="7" fillId="0" borderId="17" xfId="0" applyNumberFormat="1" applyFont="1" applyBorder="1"/>
    <xf numFmtId="0" fontId="8" fillId="0" borderId="16" xfId="0" applyFont="1" applyBorder="1"/>
    <xf numFmtId="165" fontId="8" fillId="0" borderId="17" xfId="0" applyNumberFormat="1" applyFont="1" applyBorder="1"/>
    <xf numFmtId="0" fontId="4" fillId="0" borderId="17" xfId="0" applyFont="1" applyBorder="1"/>
    <xf numFmtId="0" fontId="0" fillId="0" borderId="16" xfId="0" applyBorder="1"/>
    <xf numFmtId="165" fontId="0" fillId="0" borderId="17" xfId="0" applyNumberFormat="1" applyBorder="1"/>
    <xf numFmtId="0" fontId="0" fillId="0" borderId="18" xfId="0" applyBorder="1"/>
    <xf numFmtId="167" fontId="0" fillId="0" borderId="0" xfId="0" applyNumberFormat="1"/>
    <xf numFmtId="167" fontId="3" fillId="0" borderId="0" xfId="0" applyNumberFormat="1" applyFont="1"/>
    <xf numFmtId="167" fontId="0" fillId="0" borderId="0" xfId="0" applyNumberFormat="1" applyAlignment="1">
      <alignment vertical="center"/>
    </xf>
    <xf numFmtId="0" fontId="4" fillId="0" borderId="4" xfId="0" applyFont="1" applyBorder="1"/>
    <xf numFmtId="0" fontId="0" fillId="0" borderId="6" xfId="0" applyBorder="1"/>
    <xf numFmtId="0" fontId="1" fillId="0" borderId="0" xfId="0" applyFont="1"/>
    <xf numFmtId="165" fontId="1" fillId="0" borderId="0" xfId="0" applyNumberFormat="1" applyFont="1"/>
    <xf numFmtId="0" fontId="0" fillId="0" borderId="20" xfId="0" applyBorder="1" applyProtection="1">
      <protection locked="0"/>
    </xf>
    <xf numFmtId="0" fontId="4" fillId="0" borderId="0" xfId="0" applyFont="1"/>
    <xf numFmtId="0" fontId="0" fillId="3" borderId="0" xfId="0" applyFill="1" applyAlignment="1" applyProtection="1">
      <alignment horizontal="center"/>
      <protection locked="0"/>
    </xf>
    <xf numFmtId="0" fontId="0" fillId="0" borderId="21" xfId="0" applyBorder="1" applyProtection="1">
      <protection locked="0"/>
    </xf>
    <xf numFmtId="0" fontId="0" fillId="0" borderId="20" xfId="0" applyBorder="1"/>
    <xf numFmtId="0" fontId="0" fillId="0" borderId="21" xfId="0" applyBorder="1"/>
    <xf numFmtId="165" fontId="0" fillId="0" borderId="0" xfId="0" applyNumberFormat="1"/>
    <xf numFmtId="165" fontId="3" fillId="0" borderId="0" xfId="0" applyNumberFormat="1" applyFont="1"/>
    <xf numFmtId="0" fontId="0" fillId="0" borderId="17" xfId="0" applyBorder="1"/>
    <xf numFmtId="165" fontId="0" fillId="0" borderId="19" xfId="0" applyNumberFormat="1" applyBorder="1"/>
    <xf numFmtId="0" fontId="1" fillId="0" borderId="16" xfId="0" applyFont="1" applyBorder="1"/>
    <xf numFmtId="0" fontId="10" fillId="0" borderId="4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600" b="1"/>
              <a:t>Relative Filing Cost / GDP &amp;</a:t>
            </a:r>
            <a:r>
              <a:rPr lang="en-GB" sz="1600" b="1" baseline="0"/>
              <a:t> Population</a:t>
            </a:r>
            <a:endParaRPr lang="en-GB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'GlobalIPCo African Patent Cost'!$W$7</c:f>
              <c:strCache>
                <c:ptCount val="1"/>
                <c:pt idx="0">
                  <c:v>Filing Cost ($) / GDP ($bill.)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'GlobalIPCo African Patent Cost'!$V$8:$V$10</c:f>
              <c:strCache>
                <c:ptCount val="3"/>
                <c:pt idx="0">
                  <c:v>SANI</c:v>
                </c:pt>
                <c:pt idx="1">
                  <c:v>ARIPO</c:v>
                </c:pt>
                <c:pt idx="2">
                  <c:v>OAPI</c:v>
                </c:pt>
              </c:strCache>
            </c:strRef>
          </c:cat>
          <c:val>
            <c:numRef>
              <c:f>'GlobalIPCo African Patent Cost'!$W$8:$W$10</c:f>
              <c:numCache>
                <c:formatCode>[$$-45C]#\ ##0</c:formatCode>
                <c:ptCount val="3"/>
                <c:pt idx="0">
                  <c:v>1.3640060415940514</c:v>
                </c:pt>
                <c:pt idx="1">
                  <c:v>5.3242754550261848</c:v>
                </c:pt>
                <c:pt idx="2">
                  <c:v>9.242893989526614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59-824B-97CA-6D4CC4C848B3}"/>
            </c:ext>
          </c:extLst>
        </c:ser>
        <c:ser>
          <c:idx val="1"/>
          <c:order val="1"/>
          <c:tx>
            <c:strRef>
              <c:f>'GlobalIPCo African Patent Cost'!$X$7</c:f>
              <c:strCache>
                <c:ptCount val="1"/>
                <c:pt idx="0">
                  <c:v>Filing Cost ($) / Population (mill.)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'GlobalIPCo African Patent Cost'!$V$8:$V$10</c:f>
              <c:strCache>
                <c:ptCount val="3"/>
                <c:pt idx="0">
                  <c:v>SANI</c:v>
                </c:pt>
                <c:pt idx="1">
                  <c:v>ARIPO</c:v>
                </c:pt>
                <c:pt idx="2">
                  <c:v>OAPI</c:v>
                </c:pt>
              </c:strCache>
            </c:strRef>
          </c:cat>
          <c:val>
            <c:numRef>
              <c:f>'GlobalIPCo African Patent Cost'!$X$8:$X$10</c:f>
              <c:numCache>
                <c:formatCode>[$$-45C]#\ ##0</c:formatCode>
                <c:ptCount val="3"/>
                <c:pt idx="0">
                  <c:v>4.32508104921898</c:v>
                </c:pt>
                <c:pt idx="1">
                  <c:v>6.8573845270821367</c:v>
                </c:pt>
                <c:pt idx="2">
                  <c:v>13.358310113713383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B59-824B-97CA-6D4CC4C84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918415"/>
        <c:axId val="408712783"/>
      </c:barChart>
      <c:catAx>
        <c:axId val="4079184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712783"/>
        <c:crosses val="autoZero"/>
        <c:auto val="1"/>
        <c:lblAlgn val="ctr"/>
        <c:lblOffset val="100"/>
        <c:noMultiLvlLbl val="0"/>
      </c:catAx>
      <c:valAx>
        <c:axId val="4087127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$-45C]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7918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checked="Checked" fmlaLink="O3" lockText="1" noThreeD="1"/>
</file>

<file path=xl/ctrlProps/ctrlProp2.xml><?xml version="1.0" encoding="utf-8"?>
<formControlPr xmlns="http://schemas.microsoft.com/office/spreadsheetml/2009/9/main" objectType="CheckBox" checked="Checked" fmlaLink="O4" lockText="1" noThreeD="1"/>
</file>

<file path=xl/ctrlProps/ctrlProp3.xml><?xml version="1.0" encoding="utf-8"?>
<formControlPr xmlns="http://schemas.microsoft.com/office/spreadsheetml/2009/9/main" objectType="CheckBox" checked="Checked" fmlaLink="O2" lockText="1" noThreeD="1"/>
</file>

<file path=xl/ctrlProps/ctrlProp4.xml><?xml version="1.0" encoding="utf-8"?>
<formControlPr xmlns="http://schemas.microsoft.com/office/spreadsheetml/2009/9/main" objectType="Radio" checked="Checked" firstButton="1" fmlaLink="O7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Spin" dx="15" fmlaLink="B39" max="4" page="10" val="4"/>
</file>

<file path=xl/ctrlProps/ctrlProp7.xml><?xml version="1.0" encoding="utf-8"?>
<formControlPr xmlns="http://schemas.microsoft.com/office/spreadsheetml/2009/9/main" objectType="Spin" dx="15" fmlaLink="C28" max="20" min="1" page="10" val="19"/>
</file>

<file path=xl/ctrlProps/ctrlProp8.xml><?xml version="1.0" encoding="utf-8"?>
<formControlPr xmlns="http://schemas.microsoft.com/office/spreadsheetml/2009/9/main" objectType="CheckBox" checked="Checked" fmlaLink="I2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26</xdr:row>
          <xdr:rowOff>127000</xdr:rowOff>
        </xdr:from>
        <xdr:to>
          <xdr:col>0</xdr:col>
          <xdr:colOff>1562100</xdr:colOff>
          <xdr:row>28</xdr:row>
          <xdr:rowOff>63500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ARIPO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29</xdr:row>
          <xdr:rowOff>114300</xdr:rowOff>
        </xdr:from>
        <xdr:to>
          <xdr:col>0</xdr:col>
          <xdr:colOff>1549400</xdr:colOff>
          <xdr:row>31</xdr:row>
          <xdr:rowOff>88900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OAPI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23</xdr:row>
          <xdr:rowOff>114300</xdr:rowOff>
        </xdr:from>
        <xdr:to>
          <xdr:col>0</xdr:col>
          <xdr:colOff>1562100</xdr:colOff>
          <xdr:row>25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SANi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1270000</xdr:colOff>
          <xdr:row>24</xdr:row>
          <xdr:rowOff>38100</xdr:rowOff>
        </xdr:from>
        <xdr:to>
          <xdr:col>2</xdr:col>
          <xdr:colOff>152400</xdr:colOff>
          <xdr:row>25</xdr:row>
          <xdr:rowOff>12700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Online option (globalipco.com)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1282700</xdr:colOff>
          <xdr:row>22</xdr:row>
          <xdr:rowOff>190500</xdr:rowOff>
        </xdr:from>
        <xdr:to>
          <xdr:col>1</xdr:col>
          <xdr:colOff>584200</xdr:colOff>
          <xdr:row>24</xdr:row>
          <xdr:rowOff>38100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Traditional option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1219200</xdr:colOff>
          <xdr:row>37</xdr:row>
          <xdr:rowOff>152400</xdr:rowOff>
        </xdr:from>
        <xdr:to>
          <xdr:col>1</xdr:col>
          <xdr:colOff>1524000</xdr:colOff>
          <xdr:row>39</xdr:row>
          <xdr:rowOff>50800</xdr:rowOff>
        </xdr:to>
        <xdr:sp macro="" textlink="">
          <xdr:nvSpPr>
            <xdr:cNvPr id="1036" name="Spinner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571500</xdr:colOff>
          <xdr:row>26</xdr:row>
          <xdr:rowOff>165100</xdr:rowOff>
        </xdr:from>
        <xdr:to>
          <xdr:col>2</xdr:col>
          <xdr:colOff>825500</xdr:colOff>
          <xdr:row>28</xdr:row>
          <xdr:rowOff>38100</xdr:rowOff>
        </xdr:to>
        <xdr:sp macro="" textlink="">
          <xdr:nvSpPr>
            <xdr:cNvPr id="1037" name="Spinner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139700</xdr:colOff>
          <xdr:row>23</xdr:row>
          <xdr:rowOff>152400</xdr:rowOff>
        </xdr:from>
        <xdr:to>
          <xdr:col>3</xdr:col>
          <xdr:colOff>1676400</xdr:colOff>
          <xdr:row>25</xdr:row>
          <xdr:rowOff>76200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Renew "to term" (20yrs)</a:t>
              </a:r>
            </a:p>
          </xdr:txBody>
        </xdr:sp>
        <xdr:clientData fLocksWithSheet="0"/>
      </xdr:twoCellAnchor>
    </mc:Choice>
    <mc:Fallback/>
  </mc:AlternateContent>
  <xdr:twoCellAnchor>
    <xdr:from>
      <xdr:col>8</xdr:col>
      <xdr:colOff>24423</xdr:colOff>
      <xdr:row>21</xdr:row>
      <xdr:rowOff>36635</xdr:rowOff>
    </xdr:from>
    <xdr:to>
      <xdr:col>13</xdr:col>
      <xdr:colOff>24423</xdr:colOff>
      <xdr:row>40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842596</xdr:colOff>
      <xdr:row>26</xdr:row>
      <xdr:rowOff>97693</xdr:rowOff>
    </xdr:from>
    <xdr:to>
      <xdr:col>3</xdr:col>
      <xdr:colOff>1294424</xdr:colOff>
      <xdr:row>26</xdr:row>
      <xdr:rowOff>97693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842596" y="4799135"/>
          <a:ext cx="5043366" cy="0"/>
        </a:xfrm>
        <a:prstGeom prst="line">
          <a:avLst/>
        </a:prstGeom>
        <a:ln w="22225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836246</xdr:colOff>
      <xdr:row>29</xdr:row>
      <xdr:rowOff>127977</xdr:rowOff>
    </xdr:from>
    <xdr:to>
      <xdr:col>3</xdr:col>
      <xdr:colOff>1288074</xdr:colOff>
      <xdr:row>29</xdr:row>
      <xdr:rowOff>127977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836246" y="5488842"/>
          <a:ext cx="5043366" cy="0"/>
        </a:xfrm>
        <a:prstGeom prst="line">
          <a:avLst/>
        </a:prstGeom>
        <a:ln w="22225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427404</xdr:colOff>
      <xdr:row>27</xdr:row>
      <xdr:rowOff>109904</xdr:rowOff>
    </xdr:from>
    <xdr:to>
      <xdr:col>6</xdr:col>
      <xdr:colOff>1941635</xdr:colOff>
      <xdr:row>27</xdr:row>
      <xdr:rowOff>122115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V="1">
          <a:off x="8108462" y="5263173"/>
          <a:ext cx="2747596" cy="12211"/>
        </a:xfrm>
        <a:prstGeom prst="line">
          <a:avLst/>
        </a:prstGeom>
        <a:ln w="22225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427403</xdr:colOff>
      <xdr:row>42</xdr:row>
      <xdr:rowOff>158750</xdr:rowOff>
    </xdr:from>
    <xdr:to>
      <xdr:col>2</xdr:col>
      <xdr:colOff>427403</xdr:colOff>
      <xdr:row>54</xdr:row>
      <xdr:rowOff>48847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4188557" y="4933462"/>
          <a:ext cx="0" cy="2381250"/>
        </a:xfrm>
        <a:prstGeom prst="line">
          <a:avLst/>
        </a:prstGeom>
        <a:ln w="22225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244229</xdr:colOff>
      <xdr:row>73</xdr:row>
      <xdr:rowOff>36630</xdr:rowOff>
    </xdr:from>
    <xdr:to>
      <xdr:col>7</xdr:col>
      <xdr:colOff>109112</xdr:colOff>
      <xdr:row>95</xdr:row>
      <xdr:rowOff>48842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5383" y="15398745"/>
          <a:ext cx="7423825" cy="4579328"/>
        </a:xfrm>
        <a:prstGeom prst="rect">
          <a:avLst/>
        </a:prstGeom>
      </xdr:spPr>
    </xdr:pic>
    <xdr:clientData/>
  </xdr:twoCellAnchor>
  <xdr:twoCellAnchor editAs="oneCell">
    <xdr:from>
      <xdr:col>12</xdr:col>
      <xdr:colOff>415932</xdr:colOff>
      <xdr:row>12</xdr:row>
      <xdr:rowOff>73060</xdr:rowOff>
    </xdr:from>
    <xdr:to>
      <xdr:col>13</xdr:col>
      <xdr:colOff>498876</xdr:colOff>
      <xdr:row>24</xdr:row>
      <xdr:rowOff>134536</xdr:rowOff>
    </xdr:to>
    <xdr:pic>
      <xdr:nvPicPr>
        <xdr:cNvPr id="9" name="Picture 8" descr="Icon&#10;&#10;Description automatically generated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23624" y="2661906"/>
          <a:ext cx="913329" cy="7817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7</xdr:row>
      <xdr:rowOff>0</xdr:rowOff>
    </xdr:from>
    <xdr:to>
      <xdr:col>13</xdr:col>
      <xdr:colOff>762000</xdr:colOff>
      <xdr:row>37</xdr:row>
      <xdr:rowOff>90506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47200" y="1524000"/>
          <a:ext cx="5778500" cy="61865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3AFA8-28D3-364E-97B3-6376D9EAE38D}">
  <sheetPr>
    <pageSetUpPr fitToPage="1"/>
  </sheetPr>
  <dimension ref="A1:AI97"/>
  <sheetViews>
    <sheetView tabSelected="1" zoomScale="104" workbookViewId="0"/>
  </sheetViews>
  <sheetFormatPr baseColWidth="10" defaultRowHeight="16" x14ac:dyDescent="0.2"/>
  <cols>
    <col min="1" max="1" width="29.1640625" bestFit="1" customWidth="1"/>
    <col min="2" max="2" width="20.1640625" bestFit="1" customWidth="1"/>
    <col min="4" max="4" width="29.6640625" customWidth="1"/>
    <col min="6" max="6" width="16.1640625" bestFit="1" customWidth="1"/>
    <col min="7" max="7" width="31.5" bestFit="1" customWidth="1"/>
    <col min="10" max="10" width="25.83203125" bestFit="1" customWidth="1"/>
  </cols>
  <sheetData>
    <row r="1" spans="1:35" ht="24" x14ac:dyDescent="0.3">
      <c r="A1" s="17" t="s">
        <v>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35" s="1" customFormat="1" hidden="1" x14ac:dyDescent="0.2">
      <c r="A2" s="6" t="s">
        <v>1</v>
      </c>
      <c r="B2" s="1" t="s">
        <v>43</v>
      </c>
      <c r="C2" s="1" t="s">
        <v>57</v>
      </c>
      <c r="D2" s="1" t="s">
        <v>58</v>
      </c>
      <c r="E2" s="1" t="s">
        <v>63</v>
      </c>
      <c r="G2" s="1" t="s">
        <v>0</v>
      </c>
      <c r="H2" s="1" t="s">
        <v>58</v>
      </c>
      <c r="I2" s="18" t="b">
        <v>1</v>
      </c>
      <c r="J2" s="1">
        <f>IF(O6=3,D4,0)</f>
        <v>0</v>
      </c>
      <c r="K2" s="1">
        <v>0</v>
      </c>
      <c r="L2" s="1">
        <f ca="1">INT(YEARFRAC(B34,B35))</f>
        <v>2</v>
      </c>
      <c r="M2" s="1">
        <f>IF(O6=3,D9,0)</f>
        <v>0</v>
      </c>
      <c r="N2" s="7">
        <f>IF(O6=3,F4,0)</f>
        <v>0</v>
      </c>
      <c r="O2" s="18" t="b">
        <v>1</v>
      </c>
      <c r="P2" s="1">
        <f>IF(R6=3,D10,0)</f>
        <v>0</v>
      </c>
      <c r="Q2" s="1">
        <f>IF(O6=3,F8,0)</f>
        <v>0</v>
      </c>
      <c r="R2" s="1">
        <f>IF(B37&gt;10,H9*(B37-10),0)</f>
        <v>500</v>
      </c>
      <c r="S2" s="1">
        <f>IF(B37&gt;10,B6*(B37-10),0)</f>
        <v>690</v>
      </c>
      <c r="T2" s="1">
        <f ca="1">+L2*B16</f>
        <v>308</v>
      </c>
      <c r="V2" s="1" t="s">
        <v>102</v>
      </c>
      <c r="W2" s="1" t="s">
        <v>87</v>
      </c>
      <c r="X2" s="1" t="s">
        <v>85</v>
      </c>
      <c r="Z2" s="1" t="s">
        <v>88</v>
      </c>
      <c r="AA2" s="1">
        <v>110.3</v>
      </c>
      <c r="AB2" s="1">
        <v>54.99</v>
      </c>
      <c r="AC2" s="1">
        <f>IF($C$28=1,AA2,0)</f>
        <v>0</v>
      </c>
      <c r="AD2" s="1">
        <f>IF($C$28=1,AB2,0)</f>
        <v>0</v>
      </c>
      <c r="AE2" s="1" t="s">
        <v>104</v>
      </c>
      <c r="AF2" s="1">
        <v>463.64600000000002</v>
      </c>
      <c r="AG2" s="1">
        <v>360.98599999999999</v>
      </c>
      <c r="AH2" s="1">
        <f>IF($C$28=16,AF2,0)</f>
        <v>0</v>
      </c>
      <c r="AI2" s="1">
        <f>IF($C$28=16,AG2,0)</f>
        <v>0</v>
      </c>
    </row>
    <row r="3" spans="1:35" s="1" customFormat="1" hidden="1" x14ac:dyDescent="0.2">
      <c r="A3" s="6" t="s">
        <v>54</v>
      </c>
      <c r="B3" s="1">
        <v>344</v>
      </c>
      <c r="C3" s="1" t="s">
        <v>54</v>
      </c>
      <c r="D3" s="1">
        <v>40</v>
      </c>
      <c r="E3" s="1" t="s">
        <v>54</v>
      </c>
      <c r="F3" s="1">
        <v>85</v>
      </c>
      <c r="G3" s="1" t="s">
        <v>54</v>
      </c>
      <c r="H3" s="1">
        <v>232</v>
      </c>
      <c r="I3" s="18">
        <f>IF(I2=TRUE, 1,0)</f>
        <v>1</v>
      </c>
      <c r="J3" s="1">
        <f>IF(O6=1,D5,0)</f>
        <v>399</v>
      </c>
      <c r="K3" s="1">
        <f>IF(O6&lt;3,(D8/B39),0)</f>
        <v>27.5</v>
      </c>
      <c r="L3" s="1">
        <f ca="1">(IF(L2&lt;=1,H6,H6+H7))*C28</f>
        <v>2280</v>
      </c>
      <c r="M3" s="1">
        <f>IF(O6=1,D10,0)</f>
        <v>385</v>
      </c>
      <c r="N3" s="7">
        <f>IF(O6=1,F5,0)</f>
        <v>650</v>
      </c>
      <c r="O3" s="18" t="b">
        <v>1</v>
      </c>
      <c r="P3" s="1">
        <f>IF(R6&lt;3,D11,0)</f>
        <v>285</v>
      </c>
      <c r="Q3" s="1">
        <f>IF(O6=1,F9,0)</f>
        <v>630</v>
      </c>
      <c r="R3" s="1">
        <f>IF(B38&gt;30,H10*(B38-30),0)</f>
        <v>0</v>
      </c>
      <c r="S3" s="1">
        <f>IF(B38&gt;10,B7,0)</f>
        <v>120</v>
      </c>
      <c r="V3" s="1" t="s">
        <v>86</v>
      </c>
      <c r="W3" s="1">
        <v>860.7</v>
      </c>
      <c r="X3" s="1">
        <v>271.44</v>
      </c>
      <c r="Z3" s="1" t="s">
        <v>89</v>
      </c>
      <c r="AA3" s="1">
        <v>187.89</v>
      </c>
      <c r="AB3" s="1">
        <v>86.72</v>
      </c>
      <c r="AC3" s="1">
        <f>IF($C$28=2,AA3,0)</f>
        <v>0</v>
      </c>
      <c r="AD3" s="1">
        <f>IF($C$28=2,AB3,0)</f>
        <v>0</v>
      </c>
      <c r="AE3" s="1" t="s">
        <v>105</v>
      </c>
      <c r="AF3" s="1">
        <v>465.72399999999999</v>
      </c>
      <c r="AG3" s="1">
        <v>363.47300000000001</v>
      </c>
      <c r="AH3" s="1">
        <f>IF($C$28=17,AF3,0)</f>
        <v>0</v>
      </c>
      <c r="AI3" s="1">
        <f>IF($C$28=17,AG3,0)</f>
        <v>0</v>
      </c>
    </row>
    <row r="4" spans="1:35" s="1" customFormat="1" hidden="1" x14ac:dyDescent="0.2">
      <c r="A4" s="6" t="s">
        <v>55</v>
      </c>
      <c r="B4" s="1">
        <v>97</v>
      </c>
      <c r="C4" s="1" t="s">
        <v>59</v>
      </c>
      <c r="D4" s="1">
        <v>585</v>
      </c>
      <c r="E4" s="1" t="s">
        <v>59</v>
      </c>
      <c r="F4" s="1">
        <v>775</v>
      </c>
      <c r="G4" s="1" t="s">
        <v>73</v>
      </c>
      <c r="H4" s="1">
        <v>85</v>
      </c>
      <c r="I4" s="18">
        <f>IF(O2=TRUE,1,0)</f>
        <v>1</v>
      </c>
      <c r="J4" s="1">
        <f>IF(O6=2,D6,0)</f>
        <v>0</v>
      </c>
      <c r="K4" s="1">
        <f>IF(O6&lt;3,D7,0)</f>
        <v>70</v>
      </c>
      <c r="M4" s="1">
        <f>IF(O6=2,D9,0)</f>
        <v>0</v>
      </c>
      <c r="N4" s="7">
        <f>IF(O6=2,F6,0)</f>
        <v>0</v>
      </c>
      <c r="O4" s="18" t="b">
        <v>1</v>
      </c>
      <c r="P4" s="1">
        <f>+SUM(P2:P3)</f>
        <v>285</v>
      </c>
      <c r="Q4" s="1">
        <f>IF(O6=2,F8,0)</f>
        <v>0</v>
      </c>
      <c r="R4" s="1">
        <f>IF(B38&gt;100,H11*(B38-100),0)</f>
        <v>0</v>
      </c>
      <c r="S4" s="1">
        <f>IF(B38&gt;20,B8,0)</f>
        <v>460</v>
      </c>
      <c r="V4" s="1" t="s">
        <v>1</v>
      </c>
      <c r="W4" s="1">
        <v>307.06400000000002</v>
      </c>
      <c r="X4" s="1">
        <v>212.464</v>
      </c>
      <c r="Z4" s="1" t="s">
        <v>90</v>
      </c>
      <c r="AA4" s="1">
        <v>255.67</v>
      </c>
      <c r="AB4" s="1">
        <v>148.22</v>
      </c>
      <c r="AC4" s="1">
        <f>IF($C$28=3,AA4,0)</f>
        <v>0</v>
      </c>
      <c r="AD4" s="1">
        <f>IF($C$28=3,AB4,0)</f>
        <v>0</v>
      </c>
      <c r="AE4" s="1" t="s">
        <v>106</v>
      </c>
      <c r="AF4" s="1">
        <f>+AF3+1.94</f>
        <v>467.66399999999999</v>
      </c>
      <c r="AG4" s="1">
        <f>+AG3+0.56</f>
        <v>364.03300000000002</v>
      </c>
      <c r="AH4" s="1">
        <f>IF($C$28=18,AF4,0)</f>
        <v>0</v>
      </c>
      <c r="AI4" s="1">
        <f>IF($C$28=18,AG4,0)</f>
        <v>0</v>
      </c>
    </row>
    <row r="5" spans="1:35" s="1" customFormat="1" hidden="1" x14ac:dyDescent="0.2">
      <c r="A5" s="6" t="s">
        <v>56</v>
      </c>
      <c r="B5" s="1">
        <v>558</v>
      </c>
      <c r="C5" s="1" t="s">
        <v>60</v>
      </c>
      <c r="D5" s="1">
        <v>399</v>
      </c>
      <c r="E5" s="1" t="s">
        <v>60</v>
      </c>
      <c r="F5" s="1">
        <v>650</v>
      </c>
      <c r="G5" s="1" t="s">
        <v>48</v>
      </c>
      <c r="H5" s="1">
        <v>650</v>
      </c>
      <c r="I5" s="18">
        <f>+I4+I3</f>
        <v>2</v>
      </c>
      <c r="M5" s="1">
        <f>+SUM(M2:M4)</f>
        <v>385</v>
      </c>
      <c r="N5" s="7"/>
      <c r="O5" s="18">
        <v>7</v>
      </c>
      <c r="Q5" s="1">
        <f>+SUM(Q2:Q4)</f>
        <v>630</v>
      </c>
      <c r="R5" s="1">
        <f>IF(B37&gt;10,H12,0)</f>
        <v>30</v>
      </c>
      <c r="S5" s="1">
        <f>IF(B38&gt;30,B9,0)</f>
        <v>0</v>
      </c>
      <c r="V5" s="1" t="s">
        <v>0</v>
      </c>
      <c r="W5" s="1">
        <f>+SUM(AC2:AC16)+SUM(AH2:AH6)</f>
        <v>468.98399999999998</v>
      </c>
      <c r="X5" s="1">
        <f>+SUM(AD2:AD16)+SUM(AI2:AI6)</f>
        <v>364.13300000000004</v>
      </c>
      <c r="Z5" s="1" t="s">
        <v>91</v>
      </c>
      <c r="AA5" s="1">
        <v>296.10000000000002</v>
      </c>
      <c r="AB5" s="1">
        <v>195.34</v>
      </c>
      <c r="AC5" s="1">
        <f>IF($C$28=4,AA5,0)</f>
        <v>0</v>
      </c>
      <c r="AD5" s="1">
        <f>IF($C$28=4,AB5,0)</f>
        <v>0</v>
      </c>
      <c r="AE5" s="1" t="s">
        <v>157</v>
      </c>
      <c r="AF5" s="1">
        <f>+AF4+1.32</f>
        <v>468.98399999999998</v>
      </c>
      <c r="AG5" s="1">
        <f>+AG4+0.1</f>
        <v>364.13300000000004</v>
      </c>
      <c r="AH5" s="1">
        <f>IF($C$28=19,AF5,0)</f>
        <v>468.98399999999998</v>
      </c>
      <c r="AI5" s="1">
        <f>IF($C$28=19,AG5,0)</f>
        <v>364.13300000000004</v>
      </c>
    </row>
    <row r="6" spans="1:35" s="1" customFormat="1" hidden="1" x14ac:dyDescent="0.2">
      <c r="A6" s="6" t="s">
        <v>42</v>
      </c>
      <c r="B6" s="1">
        <v>69</v>
      </c>
      <c r="C6" s="1" t="s">
        <v>61</v>
      </c>
      <c r="D6" s="1">
        <v>199</v>
      </c>
      <c r="E6" s="1" t="s">
        <v>61</v>
      </c>
      <c r="F6" s="1">
        <v>450</v>
      </c>
      <c r="G6" s="1" t="s">
        <v>75</v>
      </c>
      <c r="H6" s="1">
        <v>50</v>
      </c>
      <c r="N6" s="7"/>
      <c r="O6" s="18">
        <f>IF(O7=2,3,1)</f>
        <v>1</v>
      </c>
      <c r="Q6" s="1">
        <f ca="1">(IF(L2&lt;=1,0,H8))</f>
        <v>150</v>
      </c>
      <c r="R6" s="1">
        <f>IF(B38&gt;30,H13,0)</f>
        <v>0</v>
      </c>
      <c r="S6" s="1">
        <f>IF(B38&gt;40,ROUNDUP(((B38-40)/10),0)*B10,0)</f>
        <v>0</v>
      </c>
      <c r="Z6" s="1" t="s">
        <v>92</v>
      </c>
      <c r="AA6" s="1">
        <v>330.43</v>
      </c>
      <c r="AB6" s="1">
        <v>240.25</v>
      </c>
      <c r="AC6" s="1">
        <f>IF($C$28=5,AA6,0)</f>
        <v>0</v>
      </c>
      <c r="AD6" s="1">
        <f>IF($C$28=5,AB6,0)</f>
        <v>0</v>
      </c>
      <c r="AE6" s="1" t="s">
        <v>158</v>
      </c>
      <c r="AF6" s="1">
        <f>+AF5+0.55</f>
        <v>469.53399999999999</v>
      </c>
      <c r="AG6" s="1">
        <f>+AG5+0.22</f>
        <v>364.35300000000007</v>
      </c>
      <c r="AH6" s="1">
        <f>IF($C$28=20,AF6,0)</f>
        <v>0</v>
      </c>
      <c r="AI6" s="1">
        <f>IF($C$28=20,AG6,0)</f>
        <v>0</v>
      </c>
    </row>
    <row r="7" spans="1:35" s="1" customFormat="1" hidden="1" x14ac:dyDescent="0.2">
      <c r="A7" s="6" t="s">
        <v>44</v>
      </c>
      <c r="B7" s="1">
        <v>120</v>
      </c>
      <c r="C7" s="1" t="s">
        <v>62</v>
      </c>
      <c r="D7" s="1">
        <v>70</v>
      </c>
      <c r="E7" s="1" t="s">
        <v>64</v>
      </c>
      <c r="F7" s="1">
        <v>18.5</v>
      </c>
      <c r="G7" s="1" t="s">
        <v>74</v>
      </c>
      <c r="H7" s="1">
        <v>70</v>
      </c>
      <c r="N7" s="7"/>
      <c r="O7" s="18">
        <v>1</v>
      </c>
      <c r="R7" s="1">
        <f>IF(B38&gt;100,H14,0)</f>
        <v>0</v>
      </c>
      <c r="V7" s="1" t="s">
        <v>102</v>
      </c>
      <c r="W7" s="1" t="s">
        <v>108</v>
      </c>
      <c r="X7" s="1" t="s">
        <v>109</v>
      </c>
      <c r="Z7" s="1" t="s">
        <v>93</v>
      </c>
      <c r="AA7" s="1">
        <v>356.65</v>
      </c>
      <c r="AB7" s="1">
        <v>255.34</v>
      </c>
      <c r="AC7" s="1">
        <f>IF($C$28=6,AA7,0)</f>
        <v>0</v>
      </c>
      <c r="AD7" s="1">
        <f>IF($C$28=6,AB7,0)</f>
        <v>0</v>
      </c>
    </row>
    <row r="8" spans="1:35" s="1" customFormat="1" hidden="1" x14ac:dyDescent="0.2">
      <c r="A8" s="6" t="s">
        <v>45</v>
      </c>
      <c r="B8" s="1">
        <v>460</v>
      </c>
      <c r="C8" s="1" t="s">
        <v>9</v>
      </c>
      <c r="D8" s="1">
        <v>110</v>
      </c>
      <c r="E8" s="1" t="s">
        <v>65</v>
      </c>
      <c r="F8" s="1">
        <v>730</v>
      </c>
      <c r="G8" s="1" t="s">
        <v>76</v>
      </c>
      <c r="H8" s="1">
        <v>150</v>
      </c>
      <c r="N8" s="7"/>
      <c r="V8" s="1" t="str">
        <f>IF(O2=TRUE,"SANI","")</f>
        <v>SANI</v>
      </c>
      <c r="W8" s="9">
        <f>IF(O2=TRUE,(B49+E49)/W3,"")</f>
        <v>1.3640060415940514</v>
      </c>
      <c r="X8" s="9">
        <f>IF(O2=TRUE,(B49+E49)/X3,"")</f>
        <v>4.32508104921898</v>
      </c>
      <c r="Z8" s="1" t="s">
        <v>94</v>
      </c>
      <c r="AA8" s="1">
        <v>377.85</v>
      </c>
      <c r="AB8" s="1">
        <v>274.26</v>
      </c>
      <c r="AC8" s="1">
        <f>IF($C$28=7,AA8,0)</f>
        <v>0</v>
      </c>
      <c r="AD8" s="1">
        <f>IF($C$28=7,AB8,0)</f>
        <v>0</v>
      </c>
    </row>
    <row r="9" spans="1:35" s="1" customFormat="1" hidden="1" x14ac:dyDescent="0.2">
      <c r="A9" s="6" t="s">
        <v>46</v>
      </c>
      <c r="B9" s="1">
        <v>917</v>
      </c>
      <c r="C9" s="1" t="s">
        <v>65</v>
      </c>
      <c r="D9" s="1">
        <v>485</v>
      </c>
      <c r="E9" s="1" t="s">
        <v>66</v>
      </c>
      <c r="F9" s="1">
        <v>630</v>
      </c>
      <c r="G9" s="1" t="s">
        <v>78</v>
      </c>
      <c r="H9" s="1">
        <v>50</v>
      </c>
      <c r="N9" s="7"/>
      <c r="V9" s="1" t="str">
        <f>IF(O3=TRUE,"ARIPO","")</f>
        <v>ARIPO</v>
      </c>
      <c r="W9" s="9">
        <f>IF(O3=TRUE,H47/W5,"")</f>
        <v>5.3242754550261848</v>
      </c>
      <c r="X9" s="9">
        <f>IF(O3=TRUE,H47/X5,"")</f>
        <v>6.8573845270821367</v>
      </c>
      <c r="Z9" s="1" t="s">
        <v>95</v>
      </c>
      <c r="AA9" s="1">
        <v>395.46</v>
      </c>
      <c r="AB9" s="1">
        <v>276.65699999999998</v>
      </c>
      <c r="AC9" s="1">
        <f>IF($C$28=8,AA9,0)</f>
        <v>0</v>
      </c>
      <c r="AD9" s="1">
        <f>IF($C$28=8,AB9,0)</f>
        <v>0</v>
      </c>
    </row>
    <row r="10" spans="1:35" s="1" customFormat="1" hidden="1" x14ac:dyDescent="0.2">
      <c r="A10" s="8" t="s">
        <v>47</v>
      </c>
      <c r="B10" s="1">
        <v>123</v>
      </c>
      <c r="C10" s="1" t="s">
        <v>68</v>
      </c>
      <c r="D10" s="1">
        <v>385</v>
      </c>
      <c r="E10" s="1" t="s">
        <v>67</v>
      </c>
      <c r="F10" s="1">
        <v>530</v>
      </c>
      <c r="G10" s="1" t="s">
        <v>79</v>
      </c>
      <c r="H10" s="1">
        <v>20</v>
      </c>
      <c r="N10" s="7"/>
      <c r="V10" s="1" t="str">
        <f>IF(O4=TRUE,"OAPI","")</f>
        <v>OAPI</v>
      </c>
      <c r="W10" s="9">
        <f>IF(O4=TRUE,(K53*B40)/W4,"")</f>
        <v>9.242893989526614</v>
      </c>
      <c r="X10" s="9">
        <f>IF(O4=TRUE,(K53*B40)/X4,"")</f>
        <v>13.358310113713383</v>
      </c>
      <c r="Z10" s="1" t="s">
        <v>96</v>
      </c>
      <c r="AA10" s="1">
        <v>411.56</v>
      </c>
      <c r="AB10" s="1">
        <v>308.81700000000001</v>
      </c>
      <c r="AC10" s="1">
        <f>IF($C$28=9,AA10,0)</f>
        <v>0</v>
      </c>
      <c r="AD10" s="1">
        <f>IF($C$28=9,AB10,0)</f>
        <v>0</v>
      </c>
    </row>
    <row r="11" spans="1:35" s="1" customFormat="1" hidden="1" x14ac:dyDescent="0.2">
      <c r="A11" s="6" t="s">
        <v>48</v>
      </c>
      <c r="B11" s="1">
        <v>460</v>
      </c>
      <c r="C11" s="1" t="s">
        <v>69</v>
      </c>
      <c r="D11" s="1">
        <v>285</v>
      </c>
      <c r="G11" s="1" t="s">
        <v>80</v>
      </c>
      <c r="H11" s="1">
        <v>30</v>
      </c>
      <c r="N11" s="7"/>
      <c r="Z11" s="1" t="s">
        <v>97</v>
      </c>
      <c r="AA11" s="1">
        <v>424.19</v>
      </c>
      <c r="AB11" s="1">
        <v>328.46699999999998</v>
      </c>
      <c r="AC11" s="1">
        <f>IF($C$28=10,AA11,0)</f>
        <v>0</v>
      </c>
      <c r="AD11" s="1">
        <f>IF($C$28=10,AB11,0)</f>
        <v>0</v>
      </c>
    </row>
    <row r="12" spans="1:35" s="1" customFormat="1" hidden="1" x14ac:dyDescent="0.2">
      <c r="A12" s="6" t="s">
        <v>49</v>
      </c>
      <c r="B12" s="1">
        <v>336</v>
      </c>
      <c r="C12" s="1" t="s">
        <v>71</v>
      </c>
      <c r="D12" s="1">
        <v>140</v>
      </c>
      <c r="G12" s="1" t="s">
        <v>81</v>
      </c>
      <c r="H12" s="1">
        <v>30</v>
      </c>
      <c r="N12" s="7"/>
      <c r="Z12" s="1" t="s">
        <v>98</v>
      </c>
      <c r="AA12" s="1">
        <v>436.43</v>
      </c>
      <c r="AB12" s="1">
        <v>331.05399999999997</v>
      </c>
      <c r="AC12" s="1">
        <f>IF($C$28=11,AA12,0)</f>
        <v>0</v>
      </c>
      <c r="AD12" s="1">
        <f>IF($C$28=11,AB12,0)</f>
        <v>0</v>
      </c>
    </row>
    <row r="13" spans="1:35" s="1" customFormat="1" hidden="1" x14ac:dyDescent="0.2">
      <c r="A13" s="6" t="s">
        <v>50</v>
      </c>
      <c r="B13" s="1">
        <v>573</v>
      </c>
      <c r="G13" s="1" t="s">
        <v>82</v>
      </c>
      <c r="H13" s="1">
        <v>30</v>
      </c>
      <c r="N13" s="7"/>
      <c r="Z13" s="1" t="s">
        <v>99</v>
      </c>
      <c r="AA13" s="1">
        <v>447.5</v>
      </c>
      <c r="AB13" s="1">
        <v>344.334</v>
      </c>
      <c r="AC13" s="1">
        <f>IF($C$28=12,AA13,0)</f>
        <v>0</v>
      </c>
      <c r="AD13" s="1">
        <f>IF($C$28=12,AB13,0)</f>
        <v>0</v>
      </c>
    </row>
    <row r="14" spans="1:35" s="1" customFormat="1" hidden="1" x14ac:dyDescent="0.2">
      <c r="A14" s="6" t="s">
        <v>51</v>
      </c>
      <c r="B14" s="1">
        <v>765</v>
      </c>
      <c r="G14" s="1" t="s">
        <v>84</v>
      </c>
      <c r="H14" s="1">
        <v>30</v>
      </c>
      <c r="N14" s="7"/>
      <c r="Z14" s="1" t="s">
        <v>100</v>
      </c>
      <c r="AA14" s="1">
        <v>452.44099999999997</v>
      </c>
      <c r="AB14" s="1">
        <v>345.50599999999997</v>
      </c>
      <c r="AC14" s="1">
        <f>IF($C$28=13,AA14,0)</f>
        <v>0</v>
      </c>
      <c r="AD14" s="1">
        <f>IF($C$28=13,AB14,0)</f>
        <v>0</v>
      </c>
    </row>
    <row r="15" spans="1:35" s="1" customFormat="1" hidden="1" x14ac:dyDescent="0.2">
      <c r="A15" s="6" t="s">
        <v>52</v>
      </c>
      <c r="B15" s="1">
        <v>917</v>
      </c>
      <c r="G15" s="1" t="s">
        <v>77</v>
      </c>
      <c r="H15" s="1">
        <v>600</v>
      </c>
      <c r="N15" s="7"/>
      <c r="Z15" s="1" t="s">
        <v>101</v>
      </c>
      <c r="AA15" s="1">
        <v>456.64</v>
      </c>
      <c r="AB15" s="1">
        <v>353.64699999999999</v>
      </c>
      <c r="AC15" s="1">
        <f>IF($C$28=14,AA15,0)</f>
        <v>0</v>
      </c>
      <c r="AD15" s="1">
        <f>IF($C$28=14,AB15,0)</f>
        <v>0</v>
      </c>
    </row>
    <row r="16" spans="1:35" s="1" customFormat="1" hidden="1" x14ac:dyDescent="0.2">
      <c r="A16" s="6" t="s">
        <v>53</v>
      </c>
      <c r="B16" s="1">
        <v>154</v>
      </c>
      <c r="G16" s="1" t="s">
        <v>83</v>
      </c>
      <c r="H16" s="1">
        <v>300</v>
      </c>
      <c r="N16" s="7"/>
      <c r="Z16" s="1" t="s">
        <v>103</v>
      </c>
      <c r="AA16" s="1">
        <v>460.15899999999999</v>
      </c>
      <c r="AB16" s="1">
        <v>355.80599999999998</v>
      </c>
      <c r="AC16" s="1">
        <f>IF($C$28=15,AA16,0)</f>
        <v>0</v>
      </c>
      <c r="AD16" s="1">
        <f>IF($C$28=15,AB16,0)</f>
        <v>0</v>
      </c>
    </row>
    <row r="17" spans="1:14" s="1" customFormat="1" hidden="1" x14ac:dyDescent="0.2">
      <c r="A17" s="6"/>
      <c r="G17" s="1" t="s">
        <v>163</v>
      </c>
      <c r="H17" s="1">
        <v>700</v>
      </c>
      <c r="N17" s="7"/>
    </row>
    <row r="18" spans="1:14" s="1" customFormat="1" hidden="1" x14ac:dyDescent="0.2">
      <c r="A18" s="6"/>
      <c r="G18" s="1" t="s">
        <v>164</v>
      </c>
      <c r="H18" s="1">
        <v>300</v>
      </c>
      <c r="N18" s="7"/>
    </row>
    <row r="19" spans="1:14" s="1" customFormat="1" hidden="1" x14ac:dyDescent="0.2">
      <c r="A19" s="6"/>
      <c r="G19" s="1" t="s">
        <v>165</v>
      </c>
      <c r="H19" s="1">
        <v>100</v>
      </c>
      <c r="N19" s="7"/>
    </row>
    <row r="20" spans="1:14" s="1" customFormat="1" hidden="1" x14ac:dyDescent="0.2">
      <c r="A20" s="6"/>
      <c r="G20" s="1" t="s">
        <v>9</v>
      </c>
      <c r="H20" s="1">
        <v>50</v>
      </c>
      <c r="N20" s="7"/>
    </row>
    <row r="21" spans="1:14" hidden="1" x14ac:dyDescent="0.2">
      <c r="A21" s="4"/>
      <c r="N21" s="5"/>
    </row>
    <row r="22" spans="1:14" s="11" customFormat="1" x14ac:dyDescent="0.2">
      <c r="A22" s="4" t="s">
        <v>168</v>
      </c>
      <c r="N22" s="12"/>
    </row>
    <row r="23" spans="1:14" s="11" customFormat="1" x14ac:dyDescent="0.2">
      <c r="A23" s="13"/>
      <c r="E23"/>
      <c r="F23"/>
      <c r="G23"/>
      <c r="H23"/>
      <c r="N23" s="12"/>
    </row>
    <row r="24" spans="1:14" s="11" customFormat="1" ht="18" customHeight="1" x14ac:dyDescent="0.2">
      <c r="A24" s="71"/>
      <c r="B24" s="41"/>
      <c r="C24" s="41"/>
      <c r="D24" s="42"/>
      <c r="E24"/>
      <c r="F24" s="53" t="s">
        <v>161</v>
      </c>
      <c r="G24" s="54"/>
      <c r="H24"/>
      <c r="N24" s="12"/>
    </row>
    <row r="25" spans="1:14" s="11" customFormat="1" ht="18" customHeight="1" x14ac:dyDescent="0.2">
      <c r="A25" s="10"/>
      <c r="D25" s="43"/>
      <c r="E25"/>
      <c r="F25" s="55" t="s">
        <v>37</v>
      </c>
      <c r="G25" s="56">
        <f>+B49+E49+H47+(K53*B40)</f>
        <v>6509.16</v>
      </c>
      <c r="H25" s="72"/>
      <c r="N25" s="12"/>
    </row>
    <row r="26" spans="1:14" s="11" customFormat="1" ht="18" customHeight="1" x14ac:dyDescent="0.25">
      <c r="A26" s="82" t="s">
        <v>169</v>
      </c>
      <c r="D26" s="43"/>
      <c r="E26"/>
      <c r="F26" s="55" t="s">
        <v>16</v>
      </c>
      <c r="G26" s="57">
        <f ca="1">+B54+E54+H52+(K58*B40)</f>
        <v>4464.2</v>
      </c>
      <c r="H26" s="72"/>
      <c r="N26" s="12"/>
    </row>
    <row r="27" spans="1:14" s="11" customFormat="1" x14ac:dyDescent="0.2">
      <c r="A27" s="10"/>
      <c r="D27" s="43"/>
      <c r="E27"/>
      <c r="F27" s="58" t="s">
        <v>11</v>
      </c>
      <c r="G27" s="59">
        <f ca="1">+G26+G25</f>
        <v>10973.36</v>
      </c>
      <c r="H27" s="72"/>
      <c r="N27" s="12"/>
    </row>
    <row r="28" spans="1:14" s="11" customFormat="1" ht="19" x14ac:dyDescent="0.25">
      <c r="A28" s="10"/>
      <c r="B28" t="s">
        <v>159</v>
      </c>
      <c r="C28" s="73">
        <v>19</v>
      </c>
      <c r="D28" s="44"/>
      <c r="E28"/>
      <c r="F28" s="55"/>
      <c r="G28" s="60"/>
      <c r="H28" s="72"/>
      <c r="N28" s="12"/>
    </row>
    <row r="29" spans="1:14" s="11" customFormat="1" x14ac:dyDescent="0.2">
      <c r="A29" s="10"/>
      <c r="B29" t="s">
        <v>107</v>
      </c>
      <c r="D29" s="43"/>
      <c r="E29"/>
      <c r="F29" s="81" t="s">
        <v>167</v>
      </c>
      <c r="G29" s="60"/>
      <c r="H29" s="72"/>
      <c r="N29" s="12"/>
    </row>
    <row r="30" spans="1:14" s="11" customFormat="1" x14ac:dyDescent="0.2">
      <c r="A30" s="10"/>
      <c r="D30" s="43"/>
      <c r="E30"/>
      <c r="F30" s="61" t="s">
        <v>70</v>
      </c>
      <c r="G30" s="62">
        <f>+H63</f>
        <v>1430</v>
      </c>
      <c r="H30"/>
      <c r="N30" s="12"/>
    </row>
    <row r="31" spans="1:14" s="11" customFormat="1" x14ac:dyDescent="0.2">
      <c r="A31" s="10"/>
      <c r="B31" t="s">
        <v>111</v>
      </c>
      <c r="D31" s="43"/>
      <c r="E31"/>
      <c r="F31" s="61" t="s">
        <v>72</v>
      </c>
      <c r="G31" s="79"/>
      <c r="H31"/>
      <c r="N31" s="12"/>
    </row>
    <row r="32" spans="1:14" s="11" customFormat="1" x14ac:dyDescent="0.2">
      <c r="A32" s="74"/>
      <c r="B32" s="45"/>
      <c r="C32" s="45"/>
      <c r="D32" s="46"/>
      <c r="E32"/>
      <c r="F32" s="63" t="s">
        <v>166</v>
      </c>
      <c r="G32" s="80">
        <f>+H70</f>
        <v>1150</v>
      </c>
      <c r="H32"/>
      <c r="N32" s="12"/>
    </row>
    <row r="33" spans="1:14" s="11" customFormat="1" x14ac:dyDescent="0.2">
      <c r="A33" s="10"/>
      <c r="N33" s="12"/>
    </row>
    <row r="34" spans="1:14" s="11" customFormat="1" x14ac:dyDescent="0.2">
      <c r="A34" s="75" t="s">
        <v>2</v>
      </c>
      <c r="B34" s="47">
        <f ca="1">TODAY()</f>
        <v>44904</v>
      </c>
      <c r="N34" s="12"/>
    </row>
    <row r="35" spans="1:14" s="11" customFormat="1" x14ac:dyDescent="0.2">
      <c r="A35" s="4" t="s">
        <v>3</v>
      </c>
      <c r="B35" s="48">
        <v>43891</v>
      </c>
      <c r="N35" s="12"/>
    </row>
    <row r="36" spans="1:14" s="11" customFormat="1" x14ac:dyDescent="0.2">
      <c r="A36" s="4" t="s">
        <v>4</v>
      </c>
      <c r="B36" s="49">
        <v>1</v>
      </c>
      <c r="N36" s="12"/>
    </row>
    <row r="37" spans="1:14" s="11" customFormat="1" x14ac:dyDescent="0.2">
      <c r="A37" s="4" t="s">
        <v>5</v>
      </c>
      <c r="B37" s="49">
        <v>20</v>
      </c>
      <c r="N37" s="12"/>
    </row>
    <row r="38" spans="1:14" s="11" customFormat="1" x14ac:dyDescent="0.2">
      <c r="A38" s="4" t="s">
        <v>6</v>
      </c>
      <c r="B38" s="49">
        <v>30</v>
      </c>
      <c r="N38" s="12"/>
    </row>
    <row r="39" spans="1:14" s="11" customFormat="1" x14ac:dyDescent="0.2">
      <c r="A39" s="4" t="s">
        <v>7</v>
      </c>
      <c r="B39" s="50">
        <v>4</v>
      </c>
      <c r="N39" s="12"/>
    </row>
    <row r="40" spans="1:14" s="11" customFormat="1" x14ac:dyDescent="0.2">
      <c r="A40" s="76" t="s">
        <v>31</v>
      </c>
      <c r="B40" s="51">
        <v>1.04</v>
      </c>
      <c r="N40" s="12"/>
    </row>
    <row r="41" spans="1:14" s="11" customFormat="1" x14ac:dyDescent="0.2">
      <c r="A41" s="10"/>
      <c r="N41" s="12"/>
    </row>
    <row r="42" spans="1:14" s="11" customFormat="1" x14ac:dyDescent="0.2">
      <c r="A42" s="19" t="s">
        <v>86</v>
      </c>
      <c r="B42" s="2"/>
      <c r="C42" s="2"/>
      <c r="D42" s="2"/>
      <c r="E42" s="3"/>
      <c r="F42"/>
      <c r="G42" s="19" t="s">
        <v>0</v>
      </c>
      <c r="H42" s="3"/>
      <c r="I42"/>
      <c r="J42" s="19" t="s">
        <v>1</v>
      </c>
      <c r="K42" s="3"/>
      <c r="L42"/>
      <c r="N42" s="12"/>
    </row>
    <row r="43" spans="1:14" s="11" customFormat="1" x14ac:dyDescent="0.2">
      <c r="A43" s="20" t="s">
        <v>19</v>
      </c>
      <c r="B43"/>
      <c r="C43"/>
      <c r="D43" s="69" t="s">
        <v>20</v>
      </c>
      <c r="E43" s="5"/>
      <c r="F43"/>
      <c r="G43" s="20" t="s">
        <v>10</v>
      </c>
      <c r="H43" s="5"/>
      <c r="I43"/>
      <c r="J43" s="20" t="s">
        <v>10</v>
      </c>
      <c r="K43" s="5"/>
      <c r="L43"/>
      <c r="N43" s="12"/>
    </row>
    <row r="44" spans="1:14" s="11" customFormat="1" x14ac:dyDescent="0.2">
      <c r="A44" s="20" t="s">
        <v>10</v>
      </c>
      <c r="B44"/>
      <c r="C44"/>
      <c r="D44" s="69" t="s">
        <v>10</v>
      </c>
      <c r="E44" s="5"/>
      <c r="F44"/>
      <c r="G44" s="4" t="s">
        <v>12</v>
      </c>
      <c r="H44" s="21">
        <f>IF(O3=TRUE,H3,0)</f>
        <v>232</v>
      </c>
      <c r="I44"/>
      <c r="J44" s="4" t="s">
        <v>12</v>
      </c>
      <c r="K44" s="22">
        <f>IF(O4=TRUE,B3,0)</f>
        <v>344</v>
      </c>
      <c r="L44"/>
      <c r="N44" s="12"/>
    </row>
    <row r="45" spans="1:14" s="11" customFormat="1" x14ac:dyDescent="0.2">
      <c r="A45" s="4" t="s">
        <v>12</v>
      </c>
      <c r="B45" s="77">
        <f>IF(O2=TRUE,D3,0)</f>
        <v>40</v>
      </c>
      <c r="C45" s="77"/>
      <c r="D45" t="s">
        <v>12</v>
      </c>
      <c r="E45" s="21">
        <f>IF(O2=TRUE,F3,0)</f>
        <v>85</v>
      </c>
      <c r="F45"/>
      <c r="G45" s="4" t="s">
        <v>41</v>
      </c>
      <c r="H45" s="21">
        <f>IF(O3=TRUE,H4*C28,0)</f>
        <v>1615</v>
      </c>
      <c r="I45"/>
      <c r="J45" s="4" t="s">
        <v>30</v>
      </c>
      <c r="K45" s="22">
        <f>IF(O4=TRUE,B4*B36,0)</f>
        <v>97</v>
      </c>
      <c r="L45"/>
      <c r="N45" s="12"/>
    </row>
    <row r="46" spans="1:14" s="11" customFormat="1" x14ac:dyDescent="0.2">
      <c r="A46" s="4" t="s">
        <v>13</v>
      </c>
      <c r="B46" s="77">
        <f>IF(O2=TRUE,+SUM(J2:J4)-B45,0)</f>
        <v>359</v>
      </c>
      <c r="C46" s="77"/>
      <c r="D46" t="s">
        <v>13</v>
      </c>
      <c r="E46" s="21">
        <f>IF(O2=TRUE,+SUM(N2:N4)-E45,0)</f>
        <v>565</v>
      </c>
      <c r="F46"/>
      <c r="G46" s="4" t="s">
        <v>13</v>
      </c>
      <c r="H46" s="23">
        <f>IF(O3=TRUE,H5,0)</f>
        <v>650</v>
      </c>
      <c r="I46"/>
      <c r="J46" s="4" t="s">
        <v>32</v>
      </c>
      <c r="K46" s="22">
        <f>IF(O4=TRUE,B5,0)</f>
        <v>558</v>
      </c>
      <c r="L46"/>
      <c r="N46" s="12"/>
    </row>
    <row r="47" spans="1:14" s="11" customFormat="1" x14ac:dyDescent="0.2">
      <c r="A47" s="4" t="s">
        <v>8</v>
      </c>
      <c r="B47" s="77">
        <f>IF(O2=TRUE,K4,0)</f>
        <v>70</v>
      </c>
      <c r="C47" s="77"/>
      <c r="D47" t="s">
        <v>8</v>
      </c>
      <c r="E47" s="21">
        <v>0</v>
      </c>
      <c r="F47"/>
      <c r="G47" s="20" t="s">
        <v>11</v>
      </c>
      <c r="H47" s="24">
        <f>+SUM(H44:H46)</f>
        <v>2497</v>
      </c>
      <c r="I47"/>
      <c r="J47" s="4" t="s">
        <v>23</v>
      </c>
      <c r="K47" s="22">
        <f>IF(O4=TRUE,S2,0)</f>
        <v>690</v>
      </c>
      <c r="L47"/>
      <c r="N47" s="12"/>
    </row>
    <row r="48" spans="1:14" s="11" customFormat="1" x14ac:dyDescent="0.2">
      <c r="A48" s="4" t="s">
        <v>9</v>
      </c>
      <c r="B48" s="78">
        <f>IF(O2=TRUE,+SUM(K2:K3),0)</f>
        <v>27.5</v>
      </c>
      <c r="C48" s="78"/>
      <c r="D48" t="s">
        <v>9</v>
      </c>
      <c r="E48" s="23">
        <f>IF(O2=TRUE,+SUM(K2:K3),0)</f>
        <v>27.5</v>
      </c>
      <c r="F48"/>
      <c r="G48" s="4"/>
      <c r="H48" s="23"/>
      <c r="I48"/>
      <c r="J48" s="4" t="s">
        <v>33</v>
      </c>
      <c r="K48" s="22">
        <f>IF(O4=TRUE,S3,0)</f>
        <v>120</v>
      </c>
      <c r="L48"/>
      <c r="N48" s="12"/>
    </row>
    <row r="49" spans="1:14" s="11" customFormat="1" x14ac:dyDescent="0.2">
      <c r="A49" s="20" t="s">
        <v>18</v>
      </c>
      <c r="B49" s="70">
        <f>+SUM(B45:B48)</f>
        <v>496.5</v>
      </c>
      <c r="C49" s="70"/>
      <c r="D49" s="69" t="s">
        <v>18</v>
      </c>
      <c r="E49" s="24">
        <f>+SUM(E45:E48)</f>
        <v>677.5</v>
      </c>
      <c r="F49"/>
      <c r="G49" s="20" t="s">
        <v>16</v>
      </c>
      <c r="H49" s="21"/>
      <c r="I49"/>
      <c r="J49" s="4" t="s">
        <v>34</v>
      </c>
      <c r="K49" s="22">
        <f>IF(O4=TRUE,S4,0)</f>
        <v>460</v>
      </c>
      <c r="L49"/>
      <c r="N49" s="12"/>
    </row>
    <row r="50" spans="1:14" s="11" customFormat="1" x14ac:dyDescent="0.2">
      <c r="A50" s="4"/>
      <c r="B50"/>
      <c r="C50"/>
      <c r="D50"/>
      <c r="E50" s="5"/>
      <c r="F50"/>
      <c r="G50" s="4" t="s">
        <v>14</v>
      </c>
      <c r="H50" s="21">
        <f ca="1">IF(O3=TRUE,L3,0)</f>
        <v>2280</v>
      </c>
      <c r="I50"/>
      <c r="J50" s="4" t="s">
        <v>22</v>
      </c>
      <c r="K50" s="22">
        <f>IF(O4=TRUE,S5,0)</f>
        <v>0</v>
      </c>
      <c r="L50"/>
      <c r="N50" s="12"/>
    </row>
    <row r="51" spans="1:14" s="11" customFormat="1" x14ac:dyDescent="0.2">
      <c r="A51" s="20" t="s">
        <v>17</v>
      </c>
      <c r="B51"/>
      <c r="C51"/>
      <c r="D51" s="69" t="s">
        <v>16</v>
      </c>
      <c r="E51" s="5"/>
      <c r="F51"/>
      <c r="G51" s="4" t="s">
        <v>15</v>
      </c>
      <c r="H51" s="23">
        <f ca="1">IF(O3=TRUE,Q6,0)</f>
        <v>150</v>
      </c>
      <c r="I51"/>
      <c r="J51" s="4" t="s">
        <v>35</v>
      </c>
      <c r="K51" s="22">
        <f>IF(O4=TRUE,S6,0)</f>
        <v>0</v>
      </c>
      <c r="L51"/>
      <c r="N51" s="12"/>
    </row>
    <row r="52" spans="1:14" s="11" customFormat="1" x14ac:dyDescent="0.2">
      <c r="A52" s="4" t="s">
        <v>14</v>
      </c>
      <c r="B52" s="77">
        <f>IF(I5=2,D12,0)</f>
        <v>140</v>
      </c>
      <c r="C52"/>
      <c r="D52" t="s">
        <v>14</v>
      </c>
      <c r="E52" s="21">
        <f>IF(I5=2,F7*19,0)</f>
        <v>351.5</v>
      </c>
      <c r="F52"/>
      <c r="G52" s="20" t="s">
        <v>11</v>
      </c>
      <c r="H52" s="24">
        <f ca="1">+H51+H50</f>
        <v>2430</v>
      </c>
      <c r="I52"/>
      <c r="J52" s="4" t="s">
        <v>13</v>
      </c>
      <c r="K52" s="25">
        <f>IF(O4=TRUE,B11,0)</f>
        <v>460</v>
      </c>
      <c r="L52"/>
      <c r="N52" s="12"/>
    </row>
    <row r="53" spans="1:14" s="11" customFormat="1" x14ac:dyDescent="0.2">
      <c r="A53" s="4" t="s">
        <v>15</v>
      </c>
      <c r="B53" s="78">
        <f>IF(I5=2,M5-B52,0)</f>
        <v>245</v>
      </c>
      <c r="C53"/>
      <c r="D53" t="s">
        <v>15</v>
      </c>
      <c r="E53" s="21">
        <f>IF(I5=2,Q5-E52,0)</f>
        <v>278.5</v>
      </c>
      <c r="F53"/>
      <c r="G53" s="4"/>
      <c r="H53" s="21"/>
      <c r="I53"/>
      <c r="J53" s="20" t="s">
        <v>11</v>
      </c>
      <c r="K53" s="26">
        <f>+SUM(K44:K52)</f>
        <v>2729</v>
      </c>
      <c r="L53"/>
      <c r="N53" s="12"/>
    </row>
    <row r="54" spans="1:14" s="11" customFormat="1" x14ac:dyDescent="0.2">
      <c r="A54" s="20" t="s">
        <v>18</v>
      </c>
      <c r="B54" s="70">
        <f>+B53+B52</f>
        <v>385</v>
      </c>
      <c r="C54"/>
      <c r="D54" s="69" t="s">
        <v>18</v>
      </c>
      <c r="E54" s="24">
        <f>+E53+E52</f>
        <v>630</v>
      </c>
      <c r="F54"/>
      <c r="G54" s="20" t="s">
        <v>29</v>
      </c>
      <c r="H54" s="21"/>
      <c r="I54"/>
      <c r="J54" s="4"/>
      <c r="K54" s="22"/>
      <c r="L54"/>
      <c r="N54" s="12"/>
    </row>
    <row r="55" spans="1:14" s="11" customFormat="1" x14ac:dyDescent="0.2">
      <c r="A55" s="4" t="s">
        <v>160</v>
      </c>
      <c r="B55" s="77"/>
      <c r="C55"/>
      <c r="D55" t="s">
        <v>38</v>
      </c>
      <c r="E55" s="5"/>
      <c r="F55"/>
      <c r="G55" s="4" t="s">
        <v>21</v>
      </c>
      <c r="H55" s="21">
        <f>IF(O3=TRUE,H15,0)</f>
        <v>600</v>
      </c>
      <c r="I55"/>
      <c r="J55" s="20" t="s">
        <v>16</v>
      </c>
      <c r="K55" s="22"/>
      <c r="L55"/>
      <c r="N55" s="12"/>
    </row>
    <row r="56" spans="1:14" s="11" customFormat="1" x14ac:dyDescent="0.2">
      <c r="A56" s="4"/>
      <c r="B56"/>
      <c r="C56"/>
      <c r="D56"/>
      <c r="E56" s="5"/>
      <c r="F56"/>
      <c r="G56" s="4" t="s">
        <v>23</v>
      </c>
      <c r="H56" s="21">
        <f>IF(O3=TRUE,R2,0)</f>
        <v>500</v>
      </c>
      <c r="I56"/>
      <c r="J56" s="4" t="s">
        <v>14</v>
      </c>
      <c r="K56" s="22">
        <f ca="1">IF(O4=TRUE,(L2*B12),0)</f>
        <v>672</v>
      </c>
      <c r="L56"/>
      <c r="N56" s="12"/>
    </row>
    <row r="57" spans="1:14" s="11" customFormat="1" x14ac:dyDescent="0.2">
      <c r="A57" s="4" t="s">
        <v>112</v>
      </c>
      <c r="B57" s="77">
        <f>+B49+E49</f>
        <v>1174</v>
      </c>
      <c r="C57"/>
      <c r="D57" s="77"/>
      <c r="E57" s="5"/>
      <c r="F57"/>
      <c r="G57" s="4" t="s">
        <v>22</v>
      </c>
      <c r="H57" s="21">
        <f>IF(O3=TRUE,R3,0)</f>
        <v>0</v>
      </c>
      <c r="I57"/>
      <c r="J57" s="4" t="s">
        <v>15</v>
      </c>
      <c r="K57" s="22">
        <f ca="1">IF(O4=TRUE,T2,0)</f>
        <v>308</v>
      </c>
      <c r="L57"/>
      <c r="N57" s="12"/>
    </row>
    <row r="58" spans="1:14" s="11" customFormat="1" x14ac:dyDescent="0.2">
      <c r="A58" s="4" t="s">
        <v>113</v>
      </c>
      <c r="B58" s="78">
        <f>+B54+E54</f>
        <v>1015</v>
      </c>
      <c r="C58"/>
      <c r="D58"/>
      <c r="E58" s="5"/>
      <c r="F58"/>
      <c r="G58" s="4" t="s">
        <v>24</v>
      </c>
      <c r="H58" s="21">
        <f>IF(O3=TRUE,R4,0)</f>
        <v>0</v>
      </c>
      <c r="I58"/>
      <c r="J58" s="27" t="s">
        <v>11</v>
      </c>
      <c r="K58" s="28">
        <f ca="1">+K57+K56</f>
        <v>980</v>
      </c>
      <c r="L58"/>
      <c r="N58" s="12"/>
    </row>
    <row r="59" spans="1:14" s="11" customFormat="1" x14ac:dyDescent="0.2">
      <c r="A59" s="27" t="s">
        <v>114</v>
      </c>
      <c r="B59" s="29">
        <f>+B58+B57</f>
        <v>2189</v>
      </c>
      <c r="C59" s="30"/>
      <c r="D59" s="30"/>
      <c r="E59" s="31"/>
      <c r="F59"/>
      <c r="G59" s="4" t="s">
        <v>25</v>
      </c>
      <c r="H59" s="21">
        <f>IF(O3=TRUE,H16,0)</f>
        <v>300</v>
      </c>
      <c r="I59"/>
      <c r="J59" s="2" t="s">
        <v>39</v>
      </c>
      <c r="K59"/>
      <c r="L59"/>
      <c r="N59" s="12"/>
    </row>
    <row r="60" spans="1:14" s="11" customFormat="1" x14ac:dyDescent="0.2">
      <c r="A60" s="4" t="s">
        <v>110</v>
      </c>
      <c r="B60"/>
      <c r="C60"/>
      <c r="D60"/>
      <c r="E60"/>
      <c r="F60"/>
      <c r="G60" s="4" t="s">
        <v>26</v>
      </c>
      <c r="H60" s="21">
        <f>IF(O3=TRUE,R5,0)</f>
        <v>30</v>
      </c>
      <c r="I60"/>
      <c r="J60"/>
      <c r="K60"/>
      <c r="L60"/>
      <c r="N60" s="12"/>
    </row>
    <row r="61" spans="1:14" s="11" customFormat="1" x14ac:dyDescent="0.2">
      <c r="A61" s="4"/>
      <c r="B61"/>
      <c r="C61"/>
      <c r="D61"/>
      <c r="E61"/>
      <c r="F61"/>
      <c r="G61" s="4" t="s">
        <v>27</v>
      </c>
      <c r="H61" s="21">
        <f>IF(O3=TRUE,R6,0)</f>
        <v>0</v>
      </c>
      <c r="I61"/>
      <c r="J61"/>
      <c r="K61"/>
      <c r="L61"/>
      <c r="N61" s="12"/>
    </row>
    <row r="62" spans="1:14" s="11" customFormat="1" x14ac:dyDescent="0.2">
      <c r="A62" s="4"/>
      <c r="B62"/>
      <c r="C62"/>
      <c r="D62"/>
      <c r="E62"/>
      <c r="F62"/>
      <c r="G62" s="4" t="s">
        <v>28</v>
      </c>
      <c r="H62" s="23">
        <f>IF(O3=TRUE,R7,0)</f>
        <v>0</v>
      </c>
      <c r="I62"/>
      <c r="J62"/>
      <c r="K62"/>
      <c r="L62"/>
      <c r="N62" s="12"/>
    </row>
    <row r="63" spans="1:14" s="11" customFormat="1" x14ac:dyDescent="0.2">
      <c r="A63" s="4"/>
      <c r="B63"/>
      <c r="C63"/>
      <c r="D63"/>
      <c r="E63"/>
      <c r="F63"/>
      <c r="G63" s="20" t="s">
        <v>11</v>
      </c>
      <c r="H63" s="24">
        <f>+SUM(H55:H62)</f>
        <v>1430</v>
      </c>
      <c r="I63"/>
      <c r="J63"/>
      <c r="K63"/>
      <c r="L63"/>
      <c r="N63" s="12"/>
    </row>
    <row r="64" spans="1:14" s="11" customFormat="1" x14ac:dyDescent="0.2">
      <c r="A64" s="4"/>
      <c r="B64"/>
      <c r="C64"/>
      <c r="D64"/>
      <c r="E64"/>
      <c r="F64"/>
      <c r="G64" s="20"/>
      <c r="H64" s="24"/>
      <c r="I64"/>
      <c r="J64"/>
      <c r="K64"/>
      <c r="L64"/>
      <c r="N64" s="12"/>
    </row>
    <row r="65" spans="1:14" s="11" customFormat="1" x14ac:dyDescent="0.2">
      <c r="A65" s="10"/>
      <c r="G65" s="20" t="s">
        <v>162</v>
      </c>
      <c r="H65" s="24"/>
      <c r="N65" s="12"/>
    </row>
    <row r="66" spans="1:14" s="11" customFormat="1" x14ac:dyDescent="0.2">
      <c r="A66" s="10"/>
      <c r="G66" s="4" t="s">
        <v>163</v>
      </c>
      <c r="H66" s="21">
        <f>IF($O$3=TRUE,H17,0)</f>
        <v>700</v>
      </c>
      <c r="N66" s="12"/>
    </row>
    <row r="67" spans="1:14" s="11" customFormat="1" x14ac:dyDescent="0.2">
      <c r="A67" s="10"/>
      <c r="G67" s="4" t="s">
        <v>164</v>
      </c>
      <c r="H67" s="21">
        <f>IF($O$3=TRUE,H18,0)</f>
        <v>300</v>
      </c>
      <c r="N67" s="12"/>
    </row>
    <row r="68" spans="1:14" s="11" customFormat="1" x14ac:dyDescent="0.2">
      <c r="A68" s="10"/>
      <c r="G68" s="4" t="s">
        <v>165</v>
      </c>
      <c r="H68" s="21">
        <f>IF($O$3=TRUE,H19,0)</f>
        <v>100</v>
      </c>
      <c r="N68" s="12"/>
    </row>
    <row r="69" spans="1:14" s="11" customFormat="1" x14ac:dyDescent="0.2">
      <c r="A69" s="10"/>
      <c r="G69" s="4" t="s">
        <v>9</v>
      </c>
      <c r="H69" s="23">
        <f>IF($O$3=TRUE,H20,0)</f>
        <v>50</v>
      </c>
      <c r="N69" s="12"/>
    </row>
    <row r="70" spans="1:14" s="11" customFormat="1" x14ac:dyDescent="0.2">
      <c r="A70" s="10"/>
      <c r="G70" s="27" t="s">
        <v>11</v>
      </c>
      <c r="H70" s="32">
        <f>+SUM(H66:H69)</f>
        <v>1150</v>
      </c>
      <c r="N70" s="12"/>
    </row>
    <row r="71" spans="1:14" s="11" customFormat="1" x14ac:dyDescent="0.2">
      <c r="A71" s="10"/>
      <c r="G71" t="s">
        <v>40</v>
      </c>
      <c r="H71"/>
      <c r="N71" s="12"/>
    </row>
    <row r="72" spans="1:14" s="11" customFormat="1" x14ac:dyDescent="0.2">
      <c r="A72" s="14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5"/>
    </row>
    <row r="73" spans="1:14" s="11" customFormat="1" x14ac:dyDescent="0.2"/>
    <row r="74" spans="1:14" s="11" customFormat="1" x14ac:dyDescent="0.2"/>
    <row r="75" spans="1:14" s="11" customFormat="1" x14ac:dyDescent="0.2"/>
    <row r="76" spans="1:14" s="11" customFormat="1" x14ac:dyDescent="0.2"/>
    <row r="77" spans="1:14" s="11" customFormat="1" x14ac:dyDescent="0.2"/>
    <row r="78" spans="1:14" s="11" customFormat="1" x14ac:dyDescent="0.2"/>
    <row r="79" spans="1:14" s="11" customFormat="1" x14ac:dyDescent="0.2"/>
    <row r="80" spans="1:14" s="11" customFormat="1" x14ac:dyDescent="0.2"/>
    <row r="81" spans="7:8" s="11" customFormat="1" x14ac:dyDescent="0.2"/>
    <row r="82" spans="7:8" s="11" customFormat="1" x14ac:dyDescent="0.2"/>
    <row r="83" spans="7:8" s="11" customFormat="1" x14ac:dyDescent="0.2"/>
    <row r="84" spans="7:8" s="11" customFormat="1" x14ac:dyDescent="0.2"/>
    <row r="85" spans="7:8" s="11" customFormat="1" x14ac:dyDescent="0.2"/>
    <row r="86" spans="7:8" s="11" customFormat="1" x14ac:dyDescent="0.2"/>
    <row r="87" spans="7:8" s="11" customFormat="1" x14ac:dyDescent="0.2"/>
    <row r="88" spans="7:8" s="11" customFormat="1" x14ac:dyDescent="0.2"/>
    <row r="89" spans="7:8" s="11" customFormat="1" x14ac:dyDescent="0.2"/>
    <row r="90" spans="7:8" s="11" customFormat="1" x14ac:dyDescent="0.2"/>
    <row r="91" spans="7:8" x14ac:dyDescent="0.2">
      <c r="G91" s="11"/>
      <c r="H91" s="11"/>
    </row>
    <row r="92" spans="7:8" x14ac:dyDescent="0.2">
      <c r="G92" s="11"/>
      <c r="H92" s="11"/>
    </row>
    <row r="93" spans="7:8" x14ac:dyDescent="0.2">
      <c r="G93" s="11"/>
      <c r="H93" s="11"/>
    </row>
    <row r="94" spans="7:8" x14ac:dyDescent="0.2">
      <c r="G94" s="11"/>
      <c r="H94" s="11"/>
    </row>
    <row r="95" spans="7:8" x14ac:dyDescent="0.2">
      <c r="G95" s="11"/>
      <c r="H95" s="11"/>
    </row>
    <row r="96" spans="7:8" x14ac:dyDescent="0.2">
      <c r="G96" s="11"/>
      <c r="H96" s="11"/>
    </row>
    <row r="97" spans="7:8" x14ac:dyDescent="0.2">
      <c r="G97" s="11"/>
      <c r="H97" s="11"/>
    </row>
  </sheetData>
  <sheetProtection algorithmName="SHA-512" hashValue="5JKIokSggv/nIXhjJPk/6Td/+vT0N0KVpGZH7rjOKIqSoo9/Kd/vbuWbvzsFW2dzjz0UOPHhQnBctqWl8YG0JQ==" saltValue="GM6nG6lYjNjU82228KXtaQ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51" orientation="landscape" horizontalDpi="0" verticalDpi="0"/>
  <ignoredErrors>
    <ignoredError sqref="B34 B45:B49 B52:B54 B57:B59 E45:E54 H44:H63 K44:K58 G30 G25:G28" unlockedFormula="1"/>
  </ignoredError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3" name="Check Box 2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26</xdr:row>
                    <xdr:rowOff>127000</xdr:rowOff>
                  </from>
                  <to>
                    <xdr:col>0</xdr:col>
                    <xdr:colOff>1562100</xdr:colOff>
                    <xdr:row>28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4" name="Check Box 3">
              <controlPr locked="0" defaultSize="0" autoFill="0" autoLine="0" autoPict="0">
                <anchor moveWithCells="1">
                  <from>
                    <xdr:col>0</xdr:col>
                    <xdr:colOff>25400</xdr:colOff>
                    <xdr:row>29</xdr:row>
                    <xdr:rowOff>114300</xdr:rowOff>
                  </from>
                  <to>
                    <xdr:col>0</xdr:col>
                    <xdr:colOff>1549400</xdr:colOff>
                    <xdr:row>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23</xdr:row>
                    <xdr:rowOff>114300</xdr:rowOff>
                  </from>
                  <to>
                    <xdr:col>0</xdr:col>
                    <xdr:colOff>1562100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Option Button 9">
              <controlPr defaultSize="0" autoFill="0" autoLine="0" autoPict="0">
                <anchor moveWithCells="1">
                  <from>
                    <xdr:col>0</xdr:col>
                    <xdr:colOff>1270000</xdr:colOff>
                    <xdr:row>24</xdr:row>
                    <xdr:rowOff>38100</xdr:rowOff>
                  </from>
                  <to>
                    <xdr:col>2</xdr:col>
                    <xdr:colOff>152400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Option Button 11">
              <controlPr defaultSize="0" autoFill="0" autoLine="0" autoPict="0">
                <anchor moveWithCells="1">
                  <from>
                    <xdr:col>0</xdr:col>
                    <xdr:colOff>1282700</xdr:colOff>
                    <xdr:row>22</xdr:row>
                    <xdr:rowOff>190500</xdr:rowOff>
                  </from>
                  <to>
                    <xdr:col>1</xdr:col>
                    <xdr:colOff>584200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Spinner 12">
              <controlPr locked="0" defaultSize="0" autoPict="0">
                <anchor moveWithCells="1" sizeWithCells="1">
                  <from>
                    <xdr:col>1</xdr:col>
                    <xdr:colOff>1219200</xdr:colOff>
                    <xdr:row>37</xdr:row>
                    <xdr:rowOff>152400</xdr:rowOff>
                  </from>
                  <to>
                    <xdr:col>1</xdr:col>
                    <xdr:colOff>1524000</xdr:colOff>
                    <xdr:row>39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Spinner 13">
              <controlPr locked="0" defaultSize="0" autoPict="0">
                <anchor moveWithCells="1" sizeWithCells="1">
                  <from>
                    <xdr:col>2</xdr:col>
                    <xdr:colOff>571500</xdr:colOff>
                    <xdr:row>26</xdr:row>
                    <xdr:rowOff>165100</xdr:rowOff>
                  </from>
                  <to>
                    <xdr:col>2</xdr:col>
                    <xdr:colOff>825500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locked="0" defaultSize="0" autoFill="0" autoLine="0" autoPict="0">
                <anchor moveWithCells="1">
                  <from>
                    <xdr:col>3</xdr:col>
                    <xdr:colOff>139700</xdr:colOff>
                    <xdr:row>23</xdr:row>
                    <xdr:rowOff>152400</xdr:rowOff>
                  </from>
                  <to>
                    <xdr:col>3</xdr:col>
                    <xdr:colOff>1676400</xdr:colOff>
                    <xdr:row>25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D187F-D69C-064A-B610-90189BFDDD28}">
  <sheetPr>
    <pageSetUpPr fitToPage="1"/>
  </sheetPr>
  <dimension ref="A1:O38"/>
  <sheetViews>
    <sheetView workbookViewId="0"/>
  </sheetViews>
  <sheetFormatPr baseColWidth="10" defaultRowHeight="16" x14ac:dyDescent="0.2"/>
  <cols>
    <col min="1" max="1" width="14" customWidth="1"/>
    <col min="2" max="2" width="15.5" bestFit="1" customWidth="1"/>
    <col min="3" max="3" width="17.5" bestFit="1" customWidth="1"/>
    <col min="4" max="4" width="10.83203125" customWidth="1"/>
    <col min="5" max="5" width="21" bestFit="1" customWidth="1"/>
    <col min="6" max="6" width="15.5" bestFit="1" customWidth="1"/>
    <col min="7" max="7" width="17.5" bestFit="1" customWidth="1"/>
    <col min="9" max="9" width="11.1640625" bestFit="1" customWidth="1"/>
    <col min="10" max="10" width="15.5" bestFit="1" customWidth="1"/>
    <col min="11" max="11" width="17.5" bestFit="1" customWidth="1"/>
  </cols>
  <sheetData>
    <row r="1" spans="1:15" ht="24" x14ac:dyDescent="0.3">
      <c r="A1" s="17" t="s">
        <v>115</v>
      </c>
      <c r="B1" s="2" t="s">
        <v>155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x14ac:dyDescent="0.2">
      <c r="A2" s="4"/>
      <c r="O2" s="5"/>
    </row>
    <row r="3" spans="1:15" x14ac:dyDescent="0.2">
      <c r="A3" s="33" t="s">
        <v>0</v>
      </c>
      <c r="B3" s="2" t="s">
        <v>153</v>
      </c>
      <c r="C3" s="3" t="s">
        <v>154</v>
      </c>
      <c r="E3" s="33" t="s">
        <v>1</v>
      </c>
      <c r="F3" s="2" t="s">
        <v>153</v>
      </c>
      <c r="G3" s="3" t="s">
        <v>154</v>
      </c>
      <c r="I3" s="19" t="s">
        <v>86</v>
      </c>
      <c r="J3" s="2" t="s">
        <v>153</v>
      </c>
      <c r="K3" s="3" t="s">
        <v>154</v>
      </c>
      <c r="O3" s="5"/>
    </row>
    <row r="4" spans="1:15" x14ac:dyDescent="0.2">
      <c r="A4" s="34" t="s">
        <v>116</v>
      </c>
      <c r="B4" s="64">
        <v>17.61</v>
      </c>
      <c r="C4" s="35">
        <v>2.3969999999999998</v>
      </c>
      <c r="E4" s="34" t="s">
        <v>117</v>
      </c>
      <c r="F4" s="64">
        <v>17.79</v>
      </c>
      <c r="G4" s="35">
        <v>12.45</v>
      </c>
      <c r="I4" s="4" t="s">
        <v>63</v>
      </c>
      <c r="J4" s="64">
        <v>440.8</v>
      </c>
      <c r="K4" s="35">
        <v>211.4</v>
      </c>
      <c r="O4" s="5"/>
    </row>
    <row r="5" spans="1:15" x14ac:dyDescent="0.2">
      <c r="A5" s="34" t="s">
        <v>118</v>
      </c>
      <c r="B5" s="64">
        <v>2.0779999999999998</v>
      </c>
      <c r="C5" s="35">
        <v>2.4870000000000001</v>
      </c>
      <c r="E5" s="34" t="s">
        <v>119</v>
      </c>
      <c r="F5" s="64">
        <v>19.739999999999998</v>
      </c>
      <c r="G5" s="35">
        <v>21.5</v>
      </c>
      <c r="I5" s="4" t="s">
        <v>57</v>
      </c>
      <c r="J5" s="65">
        <v>419.9</v>
      </c>
      <c r="K5" s="36">
        <v>60.04</v>
      </c>
      <c r="O5" s="5"/>
    </row>
    <row r="6" spans="1:15" x14ac:dyDescent="0.2">
      <c r="A6" s="52" t="s">
        <v>120</v>
      </c>
      <c r="B6" s="64">
        <v>77.59</v>
      </c>
      <c r="C6" s="35">
        <v>31.73</v>
      </c>
      <c r="E6" s="34" t="s">
        <v>121</v>
      </c>
      <c r="F6" s="64">
        <v>45.24</v>
      </c>
      <c r="G6" s="35">
        <v>27.22</v>
      </c>
      <c r="I6" s="27" t="s">
        <v>11</v>
      </c>
      <c r="J6" s="37">
        <f>+J5+J4</f>
        <v>860.7</v>
      </c>
      <c r="K6" s="38">
        <f>+K5+K4</f>
        <v>271.44</v>
      </c>
      <c r="O6" s="5"/>
    </row>
    <row r="7" spans="1:15" x14ac:dyDescent="0.2">
      <c r="A7" s="52" t="s">
        <v>122</v>
      </c>
      <c r="B7" s="64">
        <v>110.3</v>
      </c>
      <c r="C7" s="35">
        <v>54.99</v>
      </c>
      <c r="E7" s="34" t="s">
        <v>123</v>
      </c>
      <c r="F7" s="64">
        <v>2.516</v>
      </c>
      <c r="G7" s="35">
        <v>4.92</v>
      </c>
      <c r="O7" s="5"/>
    </row>
    <row r="8" spans="1:15" x14ac:dyDescent="0.2">
      <c r="A8" s="34" t="s">
        <v>124</v>
      </c>
      <c r="B8" s="64">
        <v>3.5179999999999998</v>
      </c>
      <c r="C8" s="35">
        <v>2.1589999999999998</v>
      </c>
      <c r="E8" s="34" t="s">
        <v>125</v>
      </c>
      <c r="F8" s="64">
        <v>11.78</v>
      </c>
      <c r="G8" s="35">
        <v>16.91</v>
      </c>
      <c r="O8" s="5"/>
    </row>
    <row r="9" spans="1:15" x14ac:dyDescent="0.2">
      <c r="A9" s="34" t="s">
        <v>126</v>
      </c>
      <c r="B9" s="64">
        <v>3.4870000000000001</v>
      </c>
      <c r="C9" s="35">
        <v>5.18</v>
      </c>
      <c r="E9" s="34" t="s">
        <v>127</v>
      </c>
      <c r="F9" s="64">
        <v>12.52</v>
      </c>
      <c r="G9" s="35">
        <v>5.8369999999999997</v>
      </c>
      <c r="O9" s="5"/>
    </row>
    <row r="10" spans="1:15" x14ac:dyDescent="0.2">
      <c r="A10" s="34" t="s">
        <v>128</v>
      </c>
      <c r="B10" s="64">
        <v>12.63</v>
      </c>
      <c r="C10" s="35">
        <v>19.649999999999999</v>
      </c>
      <c r="E10" s="34" t="s">
        <v>129</v>
      </c>
      <c r="F10" s="64">
        <v>1.3280000000000001</v>
      </c>
      <c r="G10" s="35">
        <v>0.89</v>
      </c>
      <c r="O10" s="5"/>
    </row>
    <row r="11" spans="1:15" x14ac:dyDescent="0.2">
      <c r="A11" s="34" t="s">
        <v>130</v>
      </c>
      <c r="B11" s="64">
        <v>16.100000000000001</v>
      </c>
      <c r="C11" s="35">
        <v>32.159999999999997</v>
      </c>
      <c r="E11" s="34" t="s">
        <v>131</v>
      </c>
      <c r="F11" s="64">
        <v>12.27</v>
      </c>
      <c r="G11" s="35">
        <v>1.45</v>
      </c>
      <c r="O11" s="5"/>
    </row>
    <row r="12" spans="1:15" x14ac:dyDescent="0.2">
      <c r="A12" s="34" t="s">
        <v>132</v>
      </c>
      <c r="B12" s="64">
        <v>12.24</v>
      </c>
      <c r="C12" s="35">
        <v>2.5870000000000002</v>
      </c>
      <c r="E12" s="34" t="s">
        <v>133</v>
      </c>
      <c r="F12" s="64">
        <v>18.27</v>
      </c>
      <c r="G12" s="35">
        <v>2.2789999999999999</v>
      </c>
      <c r="O12" s="5"/>
    </row>
    <row r="13" spans="1:15" x14ac:dyDescent="0.2">
      <c r="A13" s="34" t="s">
        <v>134</v>
      </c>
      <c r="B13" s="64">
        <v>11.07</v>
      </c>
      <c r="C13" s="35">
        <v>13.28</v>
      </c>
      <c r="E13" s="34" t="s">
        <v>135</v>
      </c>
      <c r="F13" s="64">
        <v>15.85</v>
      </c>
      <c r="G13" s="35">
        <v>13.5</v>
      </c>
      <c r="O13" s="5"/>
    </row>
    <row r="14" spans="1:15" x14ac:dyDescent="0.2">
      <c r="A14" s="34" t="s">
        <v>136</v>
      </c>
      <c r="B14" s="64">
        <v>0.54700000000000004</v>
      </c>
      <c r="C14" s="35">
        <v>0.22336400000000001</v>
      </c>
      <c r="E14" s="34" t="s">
        <v>137</v>
      </c>
      <c r="F14" s="64">
        <v>1.639</v>
      </c>
      <c r="G14" s="35">
        <v>2.0150000000000001</v>
      </c>
      <c r="O14" s="5"/>
    </row>
    <row r="15" spans="1:15" x14ac:dyDescent="0.2">
      <c r="A15" s="34" t="s">
        <v>138</v>
      </c>
      <c r="B15" s="64">
        <v>4.2</v>
      </c>
      <c r="C15" s="35">
        <v>8.141</v>
      </c>
      <c r="E15" s="34" t="s">
        <v>139</v>
      </c>
      <c r="F15" s="64">
        <v>69.760000000000005</v>
      </c>
      <c r="G15" s="35">
        <v>27.05</v>
      </c>
      <c r="O15" s="5"/>
    </row>
    <row r="16" spans="1:15" x14ac:dyDescent="0.2">
      <c r="A16" s="52" t="s">
        <v>140</v>
      </c>
      <c r="B16" s="64">
        <v>34.33</v>
      </c>
      <c r="C16" s="35">
        <v>44.91</v>
      </c>
      <c r="E16" s="34" t="s">
        <v>141</v>
      </c>
      <c r="F16" s="64">
        <v>19.14</v>
      </c>
      <c r="G16" s="35">
        <v>20.86</v>
      </c>
      <c r="O16" s="5"/>
    </row>
    <row r="17" spans="1:15" x14ac:dyDescent="0.2">
      <c r="A17" s="34" t="s">
        <v>142</v>
      </c>
      <c r="B17" s="64">
        <v>4.9409999999999998</v>
      </c>
      <c r="C17" s="35">
        <v>1.1719999999999999</v>
      </c>
      <c r="E17" s="34" t="s">
        <v>143</v>
      </c>
      <c r="F17" s="64">
        <v>8.2279999999999998</v>
      </c>
      <c r="G17" s="35">
        <v>4.7750000000000004</v>
      </c>
      <c r="O17" s="5"/>
    </row>
    <row r="18" spans="1:15" x14ac:dyDescent="0.2">
      <c r="A18" s="52" t="s">
        <v>144</v>
      </c>
      <c r="B18" s="64">
        <v>67.78</v>
      </c>
      <c r="C18" s="35">
        <v>61.5</v>
      </c>
      <c r="E18" s="34" t="s">
        <v>145</v>
      </c>
      <c r="F18" s="64">
        <v>14.95</v>
      </c>
      <c r="G18" s="35">
        <v>25.13</v>
      </c>
      <c r="O18" s="5"/>
    </row>
    <row r="19" spans="1:15" x14ac:dyDescent="0.2">
      <c r="A19" s="52" t="s">
        <v>146</v>
      </c>
      <c r="B19" s="64">
        <v>40.43</v>
      </c>
      <c r="C19" s="35">
        <v>47.12</v>
      </c>
      <c r="E19" s="34" t="s">
        <v>147</v>
      </c>
      <c r="F19" s="64">
        <v>27.63</v>
      </c>
      <c r="G19" s="35">
        <v>17.2</v>
      </c>
      <c r="O19" s="5"/>
    </row>
    <row r="20" spans="1:15" x14ac:dyDescent="0.2">
      <c r="A20" s="52" t="s">
        <v>148</v>
      </c>
      <c r="B20" s="64">
        <v>21.2</v>
      </c>
      <c r="C20" s="35">
        <v>18.920000000000002</v>
      </c>
      <c r="E20" s="34" t="s">
        <v>149</v>
      </c>
      <c r="F20" s="65">
        <v>8.4130000000000003</v>
      </c>
      <c r="G20" s="36">
        <v>8.4779999999999998</v>
      </c>
      <c r="O20" s="5"/>
    </row>
    <row r="21" spans="1:15" x14ac:dyDescent="0.2">
      <c r="A21" s="52" t="s">
        <v>150</v>
      </c>
      <c r="B21" s="64">
        <v>26.22</v>
      </c>
      <c r="C21" s="35">
        <v>15.09</v>
      </c>
      <c r="E21" s="39" t="s">
        <v>11</v>
      </c>
      <c r="F21" s="37">
        <f>+SUM(F4:F20)</f>
        <v>307.06400000000002</v>
      </c>
      <c r="G21" s="38">
        <f>+SUM(G4:G20)</f>
        <v>212.46400000000003</v>
      </c>
      <c r="O21" s="5"/>
    </row>
    <row r="22" spans="1:15" x14ac:dyDescent="0.2">
      <c r="A22" s="34" t="s">
        <v>151</v>
      </c>
      <c r="B22" s="66">
        <v>1.32</v>
      </c>
      <c r="C22" s="40">
        <v>9.9201999999999999E-2</v>
      </c>
      <c r="O22" s="5"/>
    </row>
    <row r="23" spans="1:15" x14ac:dyDescent="0.2">
      <c r="A23" s="4" t="s">
        <v>152</v>
      </c>
      <c r="B23" s="65">
        <v>1.9359999999999999</v>
      </c>
      <c r="C23" s="36">
        <v>0.56190099999999998</v>
      </c>
      <c r="O23" s="5"/>
    </row>
    <row r="24" spans="1:15" x14ac:dyDescent="0.2">
      <c r="A24" s="39" t="s">
        <v>11</v>
      </c>
      <c r="B24" s="37">
        <f>+SUM(B4:B23)</f>
        <v>469.52699999999993</v>
      </c>
      <c r="C24" s="38">
        <f>+SUM(C4:C23)</f>
        <v>364.35746699999999</v>
      </c>
      <c r="O24" s="5"/>
    </row>
    <row r="25" spans="1:15" x14ac:dyDescent="0.2">
      <c r="A25" s="67" t="s">
        <v>156</v>
      </c>
      <c r="O25" s="5"/>
    </row>
    <row r="26" spans="1:15" x14ac:dyDescent="0.2">
      <c r="A26" s="67"/>
      <c r="O26" s="5"/>
    </row>
    <row r="27" spans="1:15" x14ac:dyDescent="0.2">
      <c r="A27" s="4"/>
      <c r="O27" s="5"/>
    </row>
    <row r="28" spans="1:15" x14ac:dyDescent="0.2">
      <c r="A28" s="4"/>
      <c r="O28" s="5"/>
    </row>
    <row r="29" spans="1:15" x14ac:dyDescent="0.2">
      <c r="A29" s="4"/>
      <c r="O29" s="5"/>
    </row>
    <row r="30" spans="1:15" x14ac:dyDescent="0.2">
      <c r="A30" s="4"/>
      <c r="O30" s="5"/>
    </row>
    <row r="31" spans="1:15" x14ac:dyDescent="0.2">
      <c r="A31" s="4"/>
      <c r="O31" s="5"/>
    </row>
    <row r="32" spans="1:15" x14ac:dyDescent="0.2">
      <c r="A32" s="4"/>
      <c r="O32" s="5"/>
    </row>
    <row r="33" spans="1:15" x14ac:dyDescent="0.2">
      <c r="A33" s="4"/>
      <c r="O33" s="5"/>
    </row>
    <row r="34" spans="1:15" x14ac:dyDescent="0.2">
      <c r="A34" s="4"/>
      <c r="O34" s="5"/>
    </row>
    <row r="35" spans="1:15" x14ac:dyDescent="0.2">
      <c r="A35" s="4"/>
      <c r="O35" s="5"/>
    </row>
    <row r="36" spans="1:15" x14ac:dyDescent="0.2">
      <c r="A36" s="4"/>
      <c r="O36" s="5"/>
    </row>
    <row r="37" spans="1:15" x14ac:dyDescent="0.2">
      <c r="A37" s="4"/>
      <c r="O37" s="5"/>
    </row>
    <row r="38" spans="1:15" x14ac:dyDescent="0.2">
      <c r="A38" s="68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1"/>
    </row>
  </sheetData>
  <pageMargins left="0.70866141732283472" right="0.70866141732283472" top="0.74803149606299213" bottom="0.74803149606299213" header="0.31496062992125984" footer="0.31496062992125984"/>
  <pageSetup paperSize="9" scale="58" orientation="landscape" horizontalDpi="0" verticalDpi="0"/>
  <ignoredErrors>
    <ignoredError sqref="B24:C24 F21:G21 J6:K6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GlobalIPCo African Patent Cost</vt:lpstr>
      <vt:lpstr>Countries - Stats</vt:lpstr>
      <vt:lpstr>'Countries - Stats'!Print_Area</vt:lpstr>
      <vt:lpstr>'GlobalIPCo African Patent Cost'!Print_Area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2022-12-06T10:34:18Z</cp:lastPrinted>
  <dcterms:created xsi:type="dcterms:W3CDTF">2022-11-29T10:37:15Z</dcterms:created>
  <dcterms:modified xsi:type="dcterms:W3CDTF">2022-12-09T13:09:55Z</dcterms:modified>
</cp:coreProperties>
</file>